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Tax Doctor\Desktop\"/>
    </mc:Choice>
  </mc:AlternateContent>
  <xr:revisionPtr revIDLastSave="0" documentId="8_{D4064F91-E2E3-4FB1-8438-98D0B86947FB}" xr6:coauthVersionLast="47" xr6:coauthVersionMax="47" xr10:uidLastSave="{00000000-0000-0000-0000-000000000000}"/>
  <bookViews>
    <workbookView xWindow="-108" yWindow="-108" windowWidth="23256" windowHeight="12720" xr2:uid="{942BA6E8-2D8D-4DF1-9150-09E4F96AB7AE}"/>
  </bookViews>
  <sheets>
    <sheet name="10" sheetId="1" r:id="rId1"/>
  </sheets>
  <externalReferences>
    <externalReference r:id="rId2"/>
  </externalReferences>
  <definedNames>
    <definedName name="newbasicPB4">[1]Sheet1!$T$4:$T$37</definedName>
    <definedName name="oldbasicPB4">[1]Sheet1!$S$4:$S$37</definedName>
    <definedName name="_xlnm.Print_Area" localSheetId="0">'10'!$J$1:$O$66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91" i="1" l="1"/>
  <c r="D188" i="1"/>
  <c r="D184" i="1"/>
  <c r="D190" i="1" s="1"/>
  <c r="H145" i="1"/>
  <c r="H146" i="1" s="1"/>
  <c r="E137" i="1"/>
  <c r="H131" i="1"/>
  <c r="E131" i="1"/>
  <c r="E144" i="1" s="1"/>
  <c r="L123" i="1"/>
  <c r="C123" i="1"/>
  <c r="C127" i="1" s="1"/>
  <c r="E135" i="1" s="1"/>
  <c r="G120" i="1"/>
  <c r="H118" i="1"/>
  <c r="E118" i="1"/>
  <c r="L117" i="1"/>
  <c r="I86" i="1"/>
  <c r="I83" i="1"/>
  <c r="I80" i="1"/>
  <c r="H68" i="1"/>
  <c r="L65" i="1"/>
  <c r="M53" i="1"/>
  <c r="M52" i="1"/>
  <c r="G46" i="1"/>
  <c r="F45" i="1"/>
  <c r="F44" i="1"/>
  <c r="D44" i="1"/>
  <c r="F43" i="1"/>
  <c r="G45" i="1" s="1"/>
  <c r="D43" i="1"/>
  <c r="G39" i="1"/>
  <c r="G38" i="1"/>
  <c r="G37" i="1"/>
  <c r="G36" i="1"/>
  <c r="G35" i="1"/>
  <c r="H39" i="1" s="1"/>
  <c r="H92" i="1" s="1"/>
  <c r="F31" i="1"/>
  <c r="F30" i="1"/>
  <c r="G31" i="1" s="1"/>
  <c r="F28" i="1"/>
  <c r="F27" i="1"/>
  <c r="G28" i="1" s="1"/>
  <c r="N23" i="1"/>
  <c r="F23" i="1"/>
  <c r="F22" i="1"/>
  <c r="G23" i="1" s="1"/>
  <c r="F20" i="1"/>
  <c r="N21" i="1" s="1"/>
  <c r="F19" i="1"/>
  <c r="F18" i="1"/>
  <c r="N19" i="1" s="1"/>
  <c r="N24" i="1" s="1"/>
  <c r="G12" i="1"/>
  <c r="F14" i="1" s="1"/>
  <c r="G15" i="1" s="1"/>
  <c r="H15" i="1" s="1"/>
  <c r="H90" i="1" s="1"/>
  <c r="M10" i="1"/>
  <c r="L10" i="1"/>
  <c r="G4" i="1" s="1"/>
  <c r="G7" i="1" s="1"/>
  <c r="G8" i="1"/>
  <c r="G5" i="1"/>
  <c r="I2" i="1"/>
  <c r="H50" i="1" l="1"/>
  <c r="M70" i="1"/>
  <c r="G9" i="1"/>
  <c r="H10" i="1" s="1"/>
  <c r="H89" i="1"/>
  <c r="H149" i="1"/>
  <c r="K146" i="1"/>
  <c r="K147" i="1" s="1"/>
  <c r="K148" i="1" s="1"/>
  <c r="E54" i="1"/>
  <c r="N29" i="1"/>
  <c r="H132" i="1"/>
  <c r="H133" i="1" s="1"/>
  <c r="H134" i="1" s="1"/>
  <c r="H135" i="1" s="1"/>
  <c r="H136" i="1" s="1"/>
  <c r="G20" i="1"/>
  <c r="H33" i="1" s="1"/>
  <c r="H91" i="1" s="1"/>
  <c r="C94" i="1" l="1"/>
  <c r="L57" i="1"/>
  <c r="G54" i="1"/>
  <c r="H41" i="1"/>
  <c r="E51" i="1" s="1"/>
  <c r="H51" i="1" s="1"/>
  <c r="B53" i="1"/>
  <c r="M69" i="1"/>
  <c r="M71" i="1" s="1"/>
  <c r="M72" i="1" s="1"/>
  <c r="E55" i="1"/>
  <c r="B94" i="1"/>
  <c r="H93" i="1"/>
  <c r="H139" i="1"/>
  <c r="K136" i="1" s="1"/>
  <c r="K137" i="1" s="1"/>
  <c r="K138" i="1" s="1"/>
  <c r="B95" i="1" l="1"/>
  <c r="M74" i="1"/>
  <c r="M75" i="1" s="1"/>
  <c r="G55" i="1"/>
  <c r="L56" i="1"/>
  <c r="D94" i="1"/>
  <c r="D95" i="1" s="1"/>
  <c r="E53" i="1"/>
  <c r="M54" i="1" l="1"/>
  <c r="M55" i="1" s="1"/>
  <c r="G53" i="1"/>
  <c r="G56" i="1" s="1"/>
  <c r="H57" i="1" s="1"/>
  <c r="E94" i="1"/>
  <c r="E95" i="1"/>
  <c r="E96" i="1" l="1"/>
  <c r="E97" i="1" s="1"/>
  <c r="N57" i="1"/>
  <c r="H58" i="1"/>
  <c r="H59" i="1" s="1"/>
  <c r="H60" i="1" l="1"/>
  <c r="H61" i="1" s="1"/>
  <c r="E98" i="1"/>
  <c r="E99" i="1" s="1"/>
  <c r="H117" i="1" l="1"/>
  <c r="E130" i="1" l="1"/>
  <c r="E117" i="1"/>
  <c r="E119" i="1" s="1"/>
  <c r="E120" i="1" s="1"/>
  <c r="E122" i="1" s="1"/>
  <c r="F122" i="1" s="1"/>
  <c r="G122" i="1" s="1"/>
  <c r="H122" i="1" s="1"/>
  <c r="H119" i="1"/>
  <c r="H120" i="1" s="1"/>
  <c r="E124" i="1" l="1"/>
  <c r="F124" i="1" s="1"/>
  <c r="G124" i="1" s="1"/>
  <c r="H124" i="1" s="1"/>
  <c r="E123" i="1"/>
  <c r="F123" i="1" s="1"/>
  <c r="G123" i="1" s="1"/>
  <c r="H123" i="1" s="1"/>
  <c r="H127" i="1" s="1"/>
  <c r="E125" i="1"/>
  <c r="F125" i="1" s="1"/>
  <c r="G125" i="1" s="1"/>
  <c r="H125" i="1" s="1"/>
  <c r="E132" i="1"/>
  <c r="E143" i="1"/>
  <c r="E149" i="1" s="1"/>
  <c r="E150" i="1" s="1"/>
  <c r="F150" i="1" s="1"/>
  <c r="K123" i="1" l="1"/>
  <c r="M126" i="1"/>
  <c r="H115" i="1"/>
  <c r="H62" i="1" s="1"/>
  <c r="H64" i="1" s="1"/>
  <c r="H69" i="1" s="1"/>
  <c r="B69" i="1" s="1"/>
  <c r="E136" i="1"/>
  <c r="E134" i="1"/>
  <c r="E140" i="1" l="1"/>
  <c r="F140" i="1" s="1"/>
  <c r="E139" i="1"/>
  <c r="F136" i="1"/>
  <c r="K125" i="1"/>
  <c r="K1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RATHORE</author>
  </authors>
  <commentList>
    <comment ref="I2" authorId="0" shapeId="0" xr:uid="{BE9D9EA8-EA90-4DF2-B31B-8D6E6AD6DC21}">
      <text>
        <r>
          <rPr>
            <b/>
            <sz val="8"/>
            <color indexed="81"/>
            <rFont val="Tahoma"/>
            <family val="2"/>
          </rPr>
          <t>RATHORE:</t>
        </r>
        <r>
          <rPr>
            <sz val="8"/>
            <color indexed="81"/>
            <rFont val="Tahoma"/>
            <family val="2"/>
          </rPr>
          <t xml:space="preserve">
</t>
        </r>
      </text>
    </comment>
    <comment ref="C66" authorId="0" shapeId="0" xr:uid="{FA150271-4E43-4974-89B3-5A91B8E9D622}">
      <text>
        <r>
          <rPr>
            <b/>
            <sz val="8"/>
            <color indexed="81"/>
            <rFont val="Tahoma"/>
            <family val="2"/>
          </rPr>
          <t>RATHORE:</t>
        </r>
        <r>
          <rPr>
            <sz val="8"/>
            <color indexed="81"/>
            <rFont val="Tahoma"/>
            <family val="2"/>
          </rPr>
          <t xml:space="preserve">
</t>
        </r>
      </text>
    </comment>
    <comment ref="B69" authorId="0" shapeId="0" xr:uid="{5C280B39-1F65-4F6D-BA4B-44CA3260845C}">
      <text>
        <r>
          <rPr>
            <b/>
            <sz val="8"/>
            <color indexed="81"/>
            <rFont val="Tahoma"/>
            <family val="2"/>
          </rPr>
          <t>RATHORE:</t>
        </r>
        <r>
          <rPr>
            <sz val="8"/>
            <color indexed="81"/>
            <rFont val="Tahoma"/>
            <family val="2"/>
          </rPr>
          <t xml:space="preserve">
</t>
        </r>
      </text>
    </comment>
  </commentList>
</comments>
</file>

<file path=xl/sharedStrings.xml><?xml version="1.0" encoding="utf-8"?>
<sst xmlns="http://schemas.openxmlformats.org/spreadsheetml/2006/main" count="393" uniqueCount="352">
  <si>
    <t>Dr. V.K. Singhania's Book</t>
  </si>
  <si>
    <t xml:space="preserve">A S S E S S M E N T   Y E A R  :  2 0 2 1 - 2 2 </t>
  </si>
  <si>
    <t xml:space="preserve">Case-10  (Capital Gain, Gifts) </t>
  </si>
  <si>
    <t>Exempted</t>
  </si>
  <si>
    <t>Filing Date</t>
  </si>
  <si>
    <t>65th Edition:  August-2021</t>
  </si>
  <si>
    <t>Case Study-10</t>
  </si>
  <si>
    <t>Pgs  539-541</t>
  </si>
  <si>
    <t>Ram Naresh Rathore</t>
  </si>
  <si>
    <t xml:space="preserve">Basic Salary </t>
  </si>
  <si>
    <r>
      <t xml:space="preserve">SALARIES </t>
    </r>
    <r>
      <rPr>
        <sz val="10"/>
        <color theme="1"/>
        <rFont val="Arial"/>
        <family val="2"/>
      </rPr>
      <t>U/S 15-17</t>
    </r>
  </si>
  <si>
    <t>Amount (Rs.)</t>
  </si>
  <si>
    <t xml:space="preserve">Commission </t>
  </si>
  <si>
    <t xml:space="preserve">Due date </t>
  </si>
  <si>
    <t>Sec 17(1)</t>
  </si>
  <si>
    <t>Basic Salary and Allowances</t>
  </si>
  <si>
    <t>Transport Allowance</t>
  </si>
  <si>
    <t>Sec 17(2)</t>
  </si>
  <si>
    <t xml:space="preserve">Value of Perquisites </t>
  </si>
  <si>
    <t>Tiffin Allowance</t>
  </si>
  <si>
    <t>System Date</t>
  </si>
  <si>
    <t>Sec 17(3)</t>
  </si>
  <si>
    <t xml:space="preserve">Profit in lieu of Salary </t>
  </si>
  <si>
    <t xml:space="preserve">Leave Salary (Earlier years) </t>
  </si>
  <si>
    <t xml:space="preserve">Gross Salary </t>
  </si>
  <si>
    <t>i</t>
  </si>
  <si>
    <t>Conveyance Allowance</t>
  </si>
  <si>
    <t>Late Fees</t>
  </si>
  <si>
    <t>Sec 10</t>
  </si>
  <si>
    <t>Less Exempt Allowances (10000 + 3600 + 2400) + 8000</t>
  </si>
  <si>
    <t>ii</t>
  </si>
  <si>
    <t>Hostel Expenditure Allowance</t>
  </si>
  <si>
    <t>Jan-Mar 22</t>
  </si>
  <si>
    <t xml:space="preserve">Net Salary </t>
  </si>
  <si>
    <t>Children Education Allowance</t>
  </si>
  <si>
    <t>Sec 16(ia)</t>
  </si>
  <si>
    <t>Less Standard  Deduction</t>
  </si>
  <si>
    <r>
      <t xml:space="preserve">HOUSE PROPERTY </t>
    </r>
    <r>
      <rPr>
        <sz val="10"/>
        <color theme="1"/>
        <rFont val="Arial"/>
        <family val="2"/>
      </rPr>
      <t>U/S 22-27</t>
    </r>
  </si>
  <si>
    <t>v</t>
  </si>
  <si>
    <t xml:space="preserve">Leave Travel Concession </t>
  </si>
  <si>
    <t>Commercial</t>
  </si>
  <si>
    <r>
      <t xml:space="preserve">Rent Received  </t>
    </r>
    <r>
      <rPr>
        <sz val="9"/>
        <color rgb="FF0000FF"/>
        <rFont val="Arial"/>
        <family val="2"/>
      </rPr>
      <t xml:space="preserve">(GST Received not added) </t>
    </r>
  </si>
  <si>
    <t>Perquities-Rent Free House</t>
  </si>
  <si>
    <t>Sec 24</t>
  </si>
  <si>
    <t>LESS: Deduction</t>
  </si>
  <si>
    <r>
      <t xml:space="preserve">Rent from </t>
    </r>
    <r>
      <rPr>
        <i/>
        <sz val="10"/>
        <color rgb="FF0000FF"/>
        <rFont val="Arial"/>
        <family val="2"/>
      </rPr>
      <t xml:space="preserve">Ram Shyam Ltd </t>
    </r>
  </si>
  <si>
    <t>Std Deduction 30%</t>
  </si>
  <si>
    <t xml:space="preserve">GST Rece from Tenant @ 18% </t>
  </si>
  <si>
    <t xml:space="preserve">Intt on Housing Loan for Renewal </t>
  </si>
  <si>
    <t>Expenditure on Repair</t>
  </si>
  <si>
    <r>
      <t xml:space="preserve">CAPITAL GAINS </t>
    </r>
    <r>
      <rPr>
        <sz val="10"/>
        <color theme="1"/>
        <rFont val="Arial"/>
        <family val="2"/>
      </rPr>
      <t>U/S 45 - 55</t>
    </r>
  </si>
  <si>
    <t>LONG TERM CAPITAL GAIN</t>
  </si>
  <si>
    <t xml:space="preserve">Intt on Loan for renewal of  the Property </t>
  </si>
  <si>
    <t>Gold Sold on 02-04-20</t>
  </si>
  <si>
    <t>CII = 301</t>
  </si>
  <si>
    <t>Long Term Cap Gain</t>
  </si>
  <si>
    <t>CG-1</t>
  </si>
  <si>
    <t>Gold</t>
  </si>
  <si>
    <t>Sale proceeds  (02-04-20)</t>
  </si>
  <si>
    <t xml:space="preserve">Brokerage </t>
  </si>
  <si>
    <t>Sale Proceeds</t>
  </si>
  <si>
    <t xml:space="preserve">9(a)(ii) </t>
  </si>
  <si>
    <t>Spl 20%</t>
  </si>
  <si>
    <t xml:space="preserve">Less Brokerage </t>
  </si>
  <si>
    <t>Acq Cost 01-09-16</t>
  </si>
  <si>
    <t>CII = 264</t>
  </si>
  <si>
    <t xml:space="preserve">Less Indexed Acq Cost (01-09-16) </t>
  </si>
  <si>
    <t>400,000 * 301 / 264</t>
  </si>
  <si>
    <t xml:space="preserve">Indexed Acq Cost </t>
  </si>
  <si>
    <t>9(b)(i)</t>
  </si>
  <si>
    <r>
      <t>Diamond Sold</t>
    </r>
    <r>
      <rPr>
        <sz val="9"/>
        <color theme="1"/>
        <rFont val="Arial"/>
        <family val="2"/>
      </rPr>
      <t xml:space="preserve"> (03-05-20) FY2020-21</t>
    </r>
  </si>
  <si>
    <t>CG-2</t>
  </si>
  <si>
    <t>Diamond</t>
  </si>
  <si>
    <t>Sale Proceeds (03-05-20)</t>
  </si>
  <si>
    <r>
      <t xml:space="preserve">Acq Cost  (02-11-11)     </t>
    </r>
    <r>
      <rPr>
        <sz val="9"/>
        <color theme="1"/>
        <rFont val="Arial"/>
        <family val="2"/>
      </rPr>
      <t xml:space="preserve"> FY 2011-12</t>
    </r>
  </si>
  <si>
    <t>CII = 184</t>
  </si>
  <si>
    <t>Expenditure</t>
  </si>
  <si>
    <t>9(b)(iii)</t>
  </si>
  <si>
    <t>Less Indexed Acq</t>
  </si>
  <si>
    <t>450,000* 301 / 184</t>
  </si>
  <si>
    <t>Investment in REC Bonds 01-04-20</t>
  </si>
  <si>
    <t>Investment in REC Bonds (Prior to Sale)</t>
  </si>
  <si>
    <t>Not Allowed</t>
  </si>
  <si>
    <t>9(c)</t>
  </si>
  <si>
    <t>https://nsdl.co.in/master_search.php</t>
  </si>
  <si>
    <r>
      <t xml:space="preserve">(Spl Tax Rate @ 10%  on LTCG - Rs 100,000) u/s 112A    </t>
    </r>
    <r>
      <rPr>
        <b/>
        <sz val="9"/>
        <color theme="4" tint="0.79998168889431442"/>
        <rFont val="Arial"/>
        <family val="2"/>
      </rPr>
      <t>Cost Inflation Index-N.A.</t>
    </r>
  </si>
  <si>
    <t>112A</t>
  </si>
  <si>
    <t>Sale 1000 Eq Shares (04-06-20)</t>
  </si>
  <si>
    <t>INE002A01018</t>
  </si>
  <si>
    <t>CG-3</t>
  </si>
  <si>
    <t>Eq Shares</t>
  </si>
  <si>
    <t>Sale proceeds  (04-06-20)</t>
  </si>
  <si>
    <t xml:space="preserve">1000 @ Rs. 1870 </t>
  </si>
  <si>
    <t>Cost of Acquistion (03-12-13)</t>
  </si>
  <si>
    <t>Reliance Ind Ltd</t>
  </si>
  <si>
    <t>Spl 10%</t>
  </si>
  <si>
    <t xml:space="preserve">Less Deemed Acq Cost </t>
  </si>
  <si>
    <t xml:space="preserve">1000 @ Rs. 1575 </t>
  </si>
  <si>
    <t>FMV as on 31-01-2018</t>
  </si>
  <si>
    <r>
      <rPr>
        <b/>
        <sz val="9"/>
        <color theme="2" tint="-0.749992370372631"/>
        <rFont val="Arial"/>
        <family val="2"/>
      </rPr>
      <t xml:space="preserve">Sch-112A: Col 14        </t>
    </r>
    <r>
      <rPr>
        <b/>
        <sz val="9"/>
        <color theme="5" tint="0.39997558519241921"/>
        <rFont val="Arial"/>
        <family val="2"/>
      </rPr>
      <t xml:space="preserve">  </t>
    </r>
    <r>
      <rPr>
        <b/>
        <sz val="9"/>
        <color rgb="FF0000FF"/>
        <rFont val="Arial"/>
        <family val="2"/>
      </rPr>
      <t xml:space="preserve">           Sch-Capital Gain  B</t>
    </r>
  </si>
  <si>
    <t>4(a)</t>
  </si>
  <si>
    <t>CG-4</t>
  </si>
  <si>
    <t>Sale proceeds  (14-07-20)</t>
  </si>
  <si>
    <t>1000 @ Rs. 3800</t>
  </si>
  <si>
    <t>Sale 1000 EQ Shares (14-07-20)</t>
  </si>
  <si>
    <t>INE397D01024</t>
  </si>
  <si>
    <t xml:space="preserve">1000 @ Rs. 3310 </t>
  </si>
  <si>
    <t>Cost of Acquistion (05-05-07)</t>
  </si>
  <si>
    <t>Bharati Airtel Ltd</t>
  </si>
  <si>
    <r>
      <t xml:space="preserve">OTHER SOURCES </t>
    </r>
    <r>
      <rPr>
        <sz val="10"/>
        <color theme="1"/>
        <rFont val="Arial"/>
        <family val="2"/>
      </rPr>
      <t>U/S 56-59</t>
    </r>
  </si>
  <si>
    <t xml:space="preserve">Saving Bank Interest </t>
  </si>
  <si>
    <t>Gift from Non-Relatives</t>
  </si>
  <si>
    <t>Gift (Dada's Brother) 82000;   NRI Friend 50000</t>
  </si>
  <si>
    <t xml:space="preserve">Sec 10(32) </t>
  </si>
  <si>
    <t xml:space="preserve">Gift  received by Minor son (74000 - 1500) </t>
  </si>
  <si>
    <t xml:space="preserve">Gift received  by Minor son </t>
  </si>
  <si>
    <t xml:space="preserve">Dividend (Indian) </t>
  </si>
  <si>
    <t>Dividend (Indian)</t>
  </si>
  <si>
    <t xml:space="preserve">Dividend (Foreign) </t>
  </si>
  <si>
    <t>GROSS TOTAL INCOME</t>
  </si>
  <si>
    <t xml:space="preserve">LESS: DEDUCTIONS UNDER CHAPTER VI-A </t>
  </si>
  <si>
    <t xml:space="preserve">Sec 80C </t>
  </si>
  <si>
    <t>Recognised Prov Fund</t>
  </si>
  <si>
    <t>Public Prov Fund</t>
  </si>
  <si>
    <t>LIC Prem</t>
  </si>
  <si>
    <t xml:space="preserve">Sec  80CCD(1) </t>
  </si>
  <si>
    <t xml:space="preserve">NPS </t>
  </si>
  <si>
    <r>
      <t xml:space="preserve">Sec  80CCD(1B) </t>
    </r>
    <r>
      <rPr>
        <sz val="9"/>
        <color theme="1"/>
        <rFont val="Arial"/>
        <family val="2"/>
      </rPr>
      <t>New Pension Scheme  Max 50000</t>
    </r>
  </si>
  <si>
    <t xml:space="preserve">Medical Ins Prem - Owned family </t>
  </si>
  <si>
    <t>Max 25000</t>
  </si>
  <si>
    <t>Sec 80D</t>
  </si>
  <si>
    <t>(A) Health Insurance Prem</t>
  </si>
  <si>
    <t xml:space="preserve">Medical Ins Prem - Grand Mother </t>
  </si>
  <si>
    <t>only Parents</t>
  </si>
  <si>
    <t>Sec 80E</t>
  </si>
  <si>
    <t xml:space="preserve">Intt Paid of Education Loan </t>
  </si>
  <si>
    <t>Sec 80TTA</t>
  </si>
  <si>
    <t xml:space="preserve">(Max 10000  allowed) </t>
  </si>
  <si>
    <t xml:space="preserve">TOTAL  INCOME </t>
  </si>
  <si>
    <t>Rounding Off u/s 288A</t>
  </si>
  <si>
    <t xml:space="preserve">Income tax </t>
  </si>
  <si>
    <t xml:space="preserve">TAX ON TOTAL INCOME </t>
  </si>
  <si>
    <t xml:space="preserve">INCOME  </t>
  </si>
  <si>
    <t>RATE</t>
  </si>
  <si>
    <t>TAX</t>
  </si>
  <si>
    <t>250,000  to  500,000</t>
  </si>
  <si>
    <t>NORMAL INCOME</t>
  </si>
  <si>
    <t>500,000 to 1000,000</t>
  </si>
  <si>
    <t xml:space="preserve">LTCG </t>
  </si>
  <si>
    <r>
      <t>SPECIAL INCOME</t>
    </r>
    <r>
      <rPr>
        <sz val="9"/>
        <color rgb="FF0000FF"/>
        <rFont val="Arial"/>
        <family val="2"/>
      </rPr>
      <t xml:space="preserve"> Exempt 1 Lakh</t>
    </r>
  </si>
  <si>
    <t xml:space="preserve">      Above   1000,000</t>
  </si>
  <si>
    <t>SPECIAL INCOME</t>
  </si>
  <si>
    <t>LTCG @ 20%  Gold +  Diamonds</t>
  </si>
  <si>
    <t>Sec 87A</t>
  </si>
  <si>
    <r>
      <t xml:space="preserve">LESS : REBATE  </t>
    </r>
    <r>
      <rPr>
        <sz val="8"/>
        <color theme="1"/>
        <rFont val="Arial Narrow"/>
        <family val="2"/>
      </rPr>
      <t>(Rs. 12500, if Total Income upto Rs. 5 Lakhs)</t>
    </r>
  </si>
  <si>
    <t>LTCG @ 10%  on Equity Shares</t>
  </si>
  <si>
    <r>
      <t xml:space="preserve">ADD : SURCHARGE  </t>
    </r>
    <r>
      <rPr>
        <sz val="8"/>
        <color theme="1"/>
        <rFont val="Arial"/>
        <family val="2"/>
      </rPr>
      <t>(10 % / 15% / 25% / 37%)</t>
    </r>
  </si>
  <si>
    <t xml:space="preserve">ADD : HEALTH &amp; EDUCATION CESS (4 % on Income Tax + Surcharge) </t>
  </si>
  <si>
    <t>Details of Assets &amp; Liabilities</t>
  </si>
  <si>
    <t xml:space="preserve">Acq Cost </t>
  </si>
  <si>
    <t>Mkt value</t>
  </si>
  <si>
    <t>Wealth Tax</t>
  </si>
  <si>
    <r>
      <t>TOTAL TAX PAYABLE</t>
    </r>
    <r>
      <rPr>
        <sz val="10"/>
        <color theme="1"/>
        <rFont val="Arial"/>
        <family val="2"/>
      </rPr>
      <t xml:space="preserve"> (including Surcharge &amp; Cesses) </t>
    </r>
  </si>
  <si>
    <t>Jewellery (1974-75)</t>
  </si>
  <si>
    <t xml:space="preserve">ADD : INTEREST U/S 234A, 234B &amp; 234C </t>
  </si>
  <si>
    <t>Interest till the Month of making Video i.e Oct-2021</t>
  </si>
  <si>
    <t xml:space="preserve">Commercial Property (Let-Out) </t>
  </si>
  <si>
    <t xml:space="preserve">ADD : Late Fees U/S 234F </t>
  </si>
  <si>
    <t>Rs. 5000 (Jan-Mar 2022)</t>
  </si>
  <si>
    <t>Cash in Hand</t>
  </si>
  <si>
    <t>TOTAL TAX AND INTEREST PAYABLE</t>
  </si>
  <si>
    <t>Bank Balance</t>
  </si>
  <si>
    <t xml:space="preserve">TAX PAID U/S 199 : </t>
  </si>
  <si>
    <t xml:space="preserve">Total of Assets </t>
  </si>
  <si>
    <t xml:space="preserve">Advance Tax Paid  U/S 210 </t>
  </si>
  <si>
    <t>Loan taken by Assets Mortgaging</t>
  </si>
  <si>
    <t>Loan not taken to buy Assets</t>
  </si>
  <si>
    <t xml:space="preserve">T. D. S.  U/S 192 </t>
  </si>
  <si>
    <t>Employer</t>
  </si>
  <si>
    <t>TDS to be deducted  by the Employer</t>
  </si>
  <si>
    <t>Rounding Off u/s 288B</t>
  </si>
  <si>
    <t xml:space="preserve">Salary after Std Deduction </t>
  </si>
  <si>
    <t xml:space="preserve">Tax Cals by Dr SB Rathore, Former Associate Professor of Commerce;  42 yrs Teaching Experience (Oct-77 to Dec-19) in Shyam Lal College (University of Delhi) </t>
  </si>
  <si>
    <t>Less Deds 80C, 80CCD(1), 80CCD(1B), 80D, 80E</t>
  </si>
  <si>
    <t>Website: www.taxclasses.in</t>
  </si>
  <si>
    <t xml:space="preserve">FaceBook: DrSB Rathore </t>
  </si>
  <si>
    <t xml:space="preserve">YouTube: Dr Rathore's tax Video Lectures (No Advertisements) </t>
  </si>
  <si>
    <t>Deemed Acquisitions Cost of a Listed Equity Share till 31-01-18,  shall be higher of the two:</t>
  </si>
  <si>
    <t xml:space="preserve">Income Tax </t>
  </si>
  <si>
    <t xml:space="preserve">(a) The Actual Acquisition Cost </t>
  </si>
  <si>
    <t xml:space="preserve">Surcharge </t>
  </si>
  <si>
    <t xml:space="preserve">(b) Lower of  Sale Consideration or  Fair Market Value as on 31-01-18  </t>
  </si>
  <si>
    <t xml:space="preserve">HEC </t>
  </si>
  <si>
    <t xml:space="preserve">Long Term Capital Gain </t>
  </si>
  <si>
    <t xml:space="preserve">(1) Cost of Acquisition </t>
  </si>
  <si>
    <t>Acq Cost  1215000</t>
  </si>
  <si>
    <t>Sale</t>
  </si>
  <si>
    <r>
      <t>(2)</t>
    </r>
    <r>
      <rPr>
        <sz val="9"/>
        <color rgb="FF0000FF"/>
        <rFont val="Arial"/>
        <family val="2"/>
      </rPr>
      <t xml:space="preserve"> Lower </t>
    </r>
    <r>
      <rPr>
        <sz val="9"/>
        <rFont val="Arial"/>
        <family val="2"/>
      </rPr>
      <t xml:space="preserve"> of the two: Selling Price or FMV as on 31-01-18 </t>
    </r>
  </si>
  <si>
    <r>
      <t>Lower (</t>
    </r>
    <r>
      <rPr>
        <sz val="8"/>
        <color rgb="FF0000FF"/>
        <rFont val="Arial"/>
        <family val="2"/>
      </rPr>
      <t>SP 1870000</t>
    </r>
    <r>
      <rPr>
        <sz val="8"/>
        <rFont val="Arial"/>
        <family val="2"/>
      </rPr>
      <t xml:space="preserve"> or FMV</t>
    </r>
    <r>
      <rPr>
        <sz val="8"/>
        <color theme="1"/>
        <rFont val="Arial"/>
        <family val="2"/>
      </rPr>
      <t xml:space="preserve"> 1575000)</t>
    </r>
  </si>
  <si>
    <t>Acq Cost</t>
  </si>
  <si>
    <r>
      <t xml:space="preserve">(3) Deemed Acq Cost for LTCG: </t>
    </r>
    <r>
      <rPr>
        <sz val="9"/>
        <color rgb="FFFF0000"/>
        <rFont val="Arial"/>
        <family val="2"/>
      </rPr>
      <t>Higher</t>
    </r>
    <r>
      <rPr>
        <sz val="9"/>
        <rFont val="Arial"/>
        <family val="2"/>
      </rPr>
      <t xml:space="preserve"> of  (1) or (2) </t>
    </r>
  </si>
  <si>
    <t>Higher of  1215000 or 1575000</t>
  </si>
  <si>
    <t>FMV</t>
  </si>
  <si>
    <t xml:space="preserve">(4) LTCG = Selling Price - Cost as per above 3 </t>
  </si>
  <si>
    <t>LTCG= 1870000 - 1575000</t>
  </si>
  <si>
    <t>Acq Cost  217500</t>
  </si>
  <si>
    <r>
      <t>Lower (</t>
    </r>
    <r>
      <rPr>
        <sz val="8"/>
        <color rgb="FF0000FF"/>
        <rFont val="Arial"/>
        <family val="2"/>
      </rPr>
      <t>SP 3800000</t>
    </r>
    <r>
      <rPr>
        <sz val="8"/>
        <rFont val="Arial"/>
        <family val="2"/>
      </rPr>
      <t xml:space="preserve"> or FMV</t>
    </r>
    <r>
      <rPr>
        <sz val="8"/>
        <color theme="1"/>
        <rFont val="Arial"/>
        <family val="2"/>
      </rPr>
      <t xml:space="preserve"> 3310000)</t>
    </r>
  </si>
  <si>
    <t>Higher of   217500  or 3310000</t>
  </si>
  <si>
    <t>LTCG= 3800000 - 3310000</t>
  </si>
  <si>
    <t>New Tax Rates Regime</t>
  </si>
  <si>
    <t>SC 10%, Rent with GST, Gold, Diamond, Shares (GF), Gift, Div</t>
  </si>
  <si>
    <t>Salaries</t>
  </si>
  <si>
    <t>House Property</t>
  </si>
  <si>
    <t>ITR Filed in Dec-2021</t>
  </si>
  <si>
    <t>Capital Gain</t>
  </si>
  <si>
    <t>Basic Salary @ 2.5 Lakhs p.m.</t>
  </si>
  <si>
    <t>Other Sources</t>
  </si>
  <si>
    <t>House -Let Out</t>
  </si>
  <si>
    <t xml:space="preserve">Normal </t>
  </si>
  <si>
    <t xml:space="preserve">Total </t>
  </si>
  <si>
    <t>Total income</t>
  </si>
  <si>
    <t>GST Received too</t>
  </si>
  <si>
    <t xml:space="preserve">Income </t>
  </si>
  <si>
    <t xml:space="preserve">Intt on Housing Loan </t>
  </si>
  <si>
    <t>Tax</t>
  </si>
  <si>
    <t xml:space="preserve">Sale of Gold / Diamond  </t>
  </si>
  <si>
    <t xml:space="preserve">Surcharge 15% </t>
  </si>
  <si>
    <t>FMV  01-04-01</t>
  </si>
  <si>
    <t xml:space="preserve">Purchase of Bonds </t>
  </si>
  <si>
    <t>HEC @ 4%</t>
  </si>
  <si>
    <t>Total Liability</t>
  </si>
  <si>
    <t>S B Interest</t>
  </si>
  <si>
    <t xml:space="preserve">SBI-FDR Intt Net 18 Lakhs </t>
  </si>
  <si>
    <t xml:space="preserve">Gift In Cash (Sasura-Dost) </t>
  </si>
  <si>
    <t xml:space="preserve">   Upto             2,50,000</t>
  </si>
  <si>
    <t xml:space="preserve">Nil </t>
  </si>
  <si>
    <t>2,50,001   to    5,00,000</t>
  </si>
  <si>
    <t>5,00,001   to    7,50,000</t>
  </si>
  <si>
    <t>7,50,001   to  10,00,000</t>
  </si>
  <si>
    <t>10,00,001 to  12,50,000</t>
  </si>
  <si>
    <t>12,50,001  to  15,00,000</t>
  </si>
  <si>
    <t xml:space="preserve">   Above         15,00,000</t>
  </si>
  <si>
    <t>Part -B</t>
  </si>
  <si>
    <t>80C - 80GGC</t>
  </si>
  <si>
    <t xml:space="preserve">No Change </t>
  </si>
  <si>
    <t>Part -C</t>
  </si>
  <si>
    <t>80H - 80RRB</t>
  </si>
  <si>
    <t>Rebate u/s 87A (if TI upto  5 Lakhs)</t>
  </si>
  <si>
    <t>Part- CA</t>
  </si>
  <si>
    <t>80TTA, 80TTB</t>
  </si>
  <si>
    <t>15%  Surcharge   (TI 100 Lakhs - 200 Lakhs)</t>
  </si>
  <si>
    <t>Part-D</t>
  </si>
  <si>
    <t>80U</t>
  </si>
  <si>
    <t>Health &amp; Education Cess @ 4%</t>
  </si>
  <si>
    <t xml:space="preserve">Calculation  of Interest under Sections 234A, 234B &amp; 234C </t>
  </si>
  <si>
    <t>Total Interest</t>
  </si>
  <si>
    <t xml:space="preserve">Tax Rate </t>
  </si>
  <si>
    <t>Section 234C: In case of Non-Sr Citizen: If  Amount Exceeds Rs. 10000</t>
  </si>
  <si>
    <t>Surcharge</t>
  </si>
  <si>
    <t>Total Tax, Surcharge &amp; Cess</t>
  </si>
  <si>
    <t>Tax + SC + HEC</t>
  </si>
  <si>
    <t>Less TDS by the Employer, Bank</t>
  </si>
  <si>
    <t xml:space="preserve">Liability for Advance tax </t>
  </si>
  <si>
    <t>Deposit Date</t>
  </si>
  <si>
    <t xml:space="preserve">Tax Amount </t>
  </si>
  <si>
    <t>Last Date</t>
  </si>
  <si>
    <t xml:space="preserve">Amount </t>
  </si>
  <si>
    <t>Round Down by 100</t>
  </si>
  <si>
    <t xml:space="preserve">Shortfall </t>
  </si>
  <si>
    <t>Interest</t>
  </si>
  <si>
    <t xml:space="preserve">Month </t>
  </si>
  <si>
    <t>Interest u/s 234C</t>
  </si>
  <si>
    <t>Oct</t>
  </si>
  <si>
    <t xml:space="preserve">Nov </t>
  </si>
  <si>
    <t xml:space="preserve">Dec </t>
  </si>
  <si>
    <t xml:space="preserve">JSON </t>
  </si>
  <si>
    <t>???</t>
  </si>
  <si>
    <t>Section 234B:  If  Amount Exceeds Rs. 10000 (Less than 90 %.....)</t>
  </si>
  <si>
    <t xml:space="preserve"> Tax Liability after TDS</t>
  </si>
  <si>
    <t>Advance Tax   till 31-03-2021</t>
  </si>
  <si>
    <t>Interest u/s 234B</t>
  </si>
  <si>
    <t xml:space="preserve">Tax Liability after Advance Tax </t>
  </si>
  <si>
    <t xml:space="preserve">Self-Assessment Tax Paid </t>
  </si>
  <si>
    <t xml:space="preserve">Adjusted for  Intt u/s 234B &amp; 234C  </t>
  </si>
  <si>
    <t xml:space="preserve">Net Amt Paid </t>
  </si>
  <si>
    <t>Tax Liability after Self-Assessment Tax</t>
  </si>
  <si>
    <t>Section 234A:  If Amount Exceeds Rs. 100000</t>
  </si>
  <si>
    <t>Less Advance tax paid by 31-03-2021</t>
  </si>
  <si>
    <t>Interest u/s 234A</t>
  </si>
  <si>
    <t>Add Interest u/s 234C till 31-03-2021</t>
  </si>
  <si>
    <t xml:space="preserve">Sec 10(14) : Special Allowances prescribed as exempt </t>
  </si>
  <si>
    <t>Granted &amp; Incurred</t>
  </si>
  <si>
    <t>Sec 10(14)(i) : Exemption depend upon Actual Expenditure by the Employee</t>
  </si>
  <si>
    <t xml:space="preserve">Lower of (a) Allowance Amount or (b) Amount spent for specific purose </t>
  </si>
  <si>
    <r>
      <t>(</t>
    </r>
    <r>
      <rPr>
        <i/>
        <sz val="9"/>
        <color rgb="FF3E3E3E"/>
        <rFont val="Arial"/>
        <family val="2"/>
      </rPr>
      <t>a</t>
    </r>
    <r>
      <rPr>
        <sz val="9"/>
        <color rgb="FF3E3E3E"/>
        <rFont val="Arial"/>
        <family val="2"/>
      </rPr>
      <t>)</t>
    </r>
  </si>
  <si>
    <t>any allowance granted to meet the cost of travel on tour or on transfer;</t>
  </si>
  <si>
    <t>Travelling / Tour</t>
  </si>
  <si>
    <r>
      <t>(</t>
    </r>
    <r>
      <rPr>
        <i/>
        <sz val="9"/>
        <color rgb="FF3E3E3E"/>
        <rFont val="Arial"/>
        <family val="2"/>
      </rPr>
      <t>b</t>
    </r>
    <r>
      <rPr>
        <sz val="9"/>
        <color rgb="FF3E3E3E"/>
        <rFont val="Arial"/>
        <family val="2"/>
      </rPr>
      <t>)</t>
    </r>
  </si>
  <si>
    <t>any allowance, whether, granted on tour or for the period of journey in connection with transfer, to meet the ordinary daily charges incurred by an employee on account of absence from his normal place of duty;</t>
  </si>
  <si>
    <t>Conveyance</t>
  </si>
  <si>
    <r>
      <t>(</t>
    </r>
    <r>
      <rPr>
        <i/>
        <sz val="9"/>
        <color rgb="FF3E3E3E"/>
        <rFont val="Arial"/>
        <family val="2"/>
      </rPr>
      <t>c</t>
    </r>
    <r>
      <rPr>
        <sz val="9"/>
        <color rgb="FF3E3E3E"/>
        <rFont val="Arial"/>
        <family val="2"/>
      </rPr>
      <t>)</t>
    </r>
  </si>
  <si>
    <t>any allowance granted to meet the expenditure incurred on con-veyance in performance of duties of an office or employment of profit :</t>
  </si>
  <si>
    <t xml:space="preserve">Daily </t>
  </si>
  <si>
    <r>
      <t>(</t>
    </r>
    <r>
      <rPr>
        <i/>
        <sz val="9"/>
        <color rgb="FF3E3E3E"/>
        <rFont val="Arial"/>
        <family val="2"/>
      </rPr>
      <t>d</t>
    </r>
    <r>
      <rPr>
        <sz val="9"/>
        <color rgb="FF3E3E3E"/>
        <rFont val="Arial"/>
        <family val="2"/>
      </rPr>
      <t>)</t>
    </r>
  </si>
  <si>
    <t>any allowance granted to meet the expenditure incurred on a helper where such helper is engaged for the performance of the duties of an office or employment of profit;</t>
  </si>
  <si>
    <t>Helper</t>
  </si>
  <si>
    <r>
      <t>(</t>
    </r>
    <r>
      <rPr>
        <i/>
        <sz val="9"/>
        <color rgb="FF3E3E3E"/>
        <rFont val="Arial"/>
        <family val="2"/>
      </rPr>
      <t>e</t>
    </r>
    <r>
      <rPr>
        <sz val="9"/>
        <color rgb="FF3E3E3E"/>
        <rFont val="Arial"/>
        <family val="2"/>
      </rPr>
      <t>)</t>
    </r>
  </si>
  <si>
    <t>any allowance granted for encouraging the academic, research and training pursuits in educational and research institutions;</t>
  </si>
  <si>
    <t>Research</t>
  </si>
  <si>
    <r>
      <t>(</t>
    </r>
    <r>
      <rPr>
        <i/>
        <sz val="9"/>
        <color rgb="FF3E3E3E"/>
        <rFont val="Arial"/>
        <family val="2"/>
      </rPr>
      <t>f</t>
    </r>
    <r>
      <rPr>
        <sz val="9"/>
        <color rgb="FF3E3E3E"/>
        <rFont val="Arial"/>
        <family val="2"/>
      </rPr>
      <t>)</t>
    </r>
  </si>
  <si>
    <t>any allowance granted to meet the expenditure incurred on the purchase or maintenance of uniform for wear during the performance of the duties of an office or employment of profit.</t>
  </si>
  <si>
    <t>Uniform</t>
  </si>
  <si>
    <r>
      <t>Explanation</t>
    </r>
    <r>
      <rPr>
        <sz val="8"/>
        <color rgb="FF3E3E3E"/>
        <rFont val="Times New Roman"/>
        <family val="1"/>
      </rPr>
      <t> : For the purpose of clause (</t>
    </r>
    <r>
      <rPr>
        <i/>
        <sz val="8"/>
        <color rgb="FF3E3E3E"/>
        <rFont val="Times New Roman"/>
        <family val="1"/>
      </rPr>
      <t>a</t>
    </r>
    <r>
      <rPr>
        <sz val="8"/>
        <color rgb="FF3E3E3E"/>
        <rFont val="Times New Roman"/>
        <family val="1"/>
      </rPr>
      <t>), “allowance granted to meet the cost of travel on transfer” includes any sum paid in connection with transfer, packing and transportation of personal effects on such transfer.</t>
    </r>
  </si>
  <si>
    <t>for Clause © Provided that free conveyance is not provided by the employer;</t>
  </si>
  <si>
    <t xml:space="preserve">Granted </t>
  </si>
  <si>
    <t>Sec 10(14)(ii) : Exemption not dependent upon Actual Expenditure</t>
  </si>
  <si>
    <t>Lower of (a) Allowance Amount or (b) Amount specified in Rule 2BB</t>
  </si>
  <si>
    <t>Children Education  Allow</t>
  </si>
  <si>
    <t>Rs. 100 per month per child subject to max of  2 Children</t>
  </si>
  <si>
    <t>Hostel Expenditure Allow</t>
  </si>
  <si>
    <t>Rs. 300 per month per child subject to max of  2 Children</t>
  </si>
  <si>
    <t>Border Area Allowance</t>
  </si>
  <si>
    <t>Range Rs. 200 per month to Rs. 1300 per month</t>
  </si>
  <si>
    <t>Tribal Area/Scheduled Area</t>
  </si>
  <si>
    <t>Rs. 200 per month</t>
  </si>
  <si>
    <t xml:space="preserve">High Altitude Allowance </t>
  </si>
  <si>
    <t xml:space="preserve">Rs. 1060 per month (Altitude 9000 to 15000 feet); 1600 pm (Above 15000 Feet) </t>
  </si>
  <si>
    <t xml:space="preserve">Island Duty Allowance </t>
  </si>
  <si>
    <t xml:space="preserve">Rs. 3250 per month  (Andaman &amp; Nocobar;  Lakshadweep) </t>
  </si>
  <si>
    <t xml:space="preserve">Highly Active Field </t>
  </si>
  <si>
    <t xml:space="preserve">Rs. 4200 per month </t>
  </si>
  <si>
    <t>Transport Allow (Sec 80U)</t>
  </si>
  <si>
    <t xml:space="preserve">Rs. 3200 per month </t>
  </si>
  <si>
    <t xml:space="preserve">Sec 17 (1) </t>
  </si>
  <si>
    <t>Less Allowances u/s 10</t>
  </si>
  <si>
    <t xml:space="preserve">Less Deds u/s 16 </t>
  </si>
  <si>
    <t xml:space="preserve">Sec 10(5) Leave Travel </t>
  </si>
  <si>
    <t xml:space="preserve">Std Ded  u/s 16 (ia) </t>
  </si>
  <si>
    <t>Dearness Allowance</t>
  </si>
  <si>
    <t>Sec 10(13A) HRA</t>
  </si>
  <si>
    <t>Employment Tax</t>
  </si>
  <si>
    <t xml:space="preserve">Sec 10(14)(i) Conveyance </t>
  </si>
  <si>
    <t>House Rent Allowance</t>
  </si>
  <si>
    <t>Sec 10(14)(iI) CEA</t>
  </si>
  <si>
    <t>Leave Travel Allowance</t>
  </si>
  <si>
    <t>Children Edu Allowance</t>
  </si>
  <si>
    <t>Other Allowances</t>
  </si>
  <si>
    <t xml:space="preserve">Sec 17 (2) Perks </t>
  </si>
  <si>
    <t xml:space="preserve">Accommodation </t>
  </si>
  <si>
    <t xml:space="preserve">Car </t>
  </si>
  <si>
    <t>Others</t>
  </si>
  <si>
    <t xml:space="preserve">Sec 17 (3) Profit In lieu of Salary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</si>
</sst>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409]d\-mmm\-yy;@"/>
  </numFmts>
  <fonts count="92" x14ac:knownFonts="1">
    <font>
      <sz val="10"/>
      <name val="Arial"/>
    </font>
    <font>
      <sz val="10"/>
      <name val="Arial"/>
      <family val="2"/>
    </font>
    <font>
      <b/>
      <sz val="8"/>
      <color rgb="FF2B0CE4"/>
      <name val="Arial"/>
      <family val="2"/>
    </font>
    <font>
      <sz val="11"/>
      <color theme="1"/>
      <name val="Arial"/>
      <family val="2"/>
    </font>
    <font>
      <sz val="10"/>
      <color rgb="FFC00000"/>
      <name val="Arial Narrow"/>
      <family val="2"/>
    </font>
    <font>
      <sz val="10"/>
      <color theme="1"/>
      <name val="Arial"/>
      <family val="2"/>
    </font>
    <font>
      <sz val="9"/>
      <color rgb="FF0000FF"/>
      <name val="Arial"/>
      <family val="2"/>
    </font>
    <font>
      <b/>
      <sz val="8"/>
      <color rgb="FFC00000"/>
      <name val="Arial"/>
      <family val="2"/>
    </font>
    <font>
      <b/>
      <sz val="9"/>
      <color theme="1"/>
      <name val="Arial"/>
      <family val="2"/>
    </font>
    <font>
      <sz val="8"/>
      <color theme="1"/>
      <name val="Arial"/>
      <family val="2"/>
    </font>
    <font>
      <sz val="10"/>
      <color rgb="FF0000FF"/>
      <name val="Arial"/>
      <family val="2"/>
    </font>
    <font>
      <sz val="9"/>
      <color rgb="FFC00000"/>
      <name val="Arial"/>
      <family val="2"/>
    </font>
    <font>
      <b/>
      <sz val="8"/>
      <color rgb="FF0000FF"/>
      <name val="Arial"/>
      <family val="2"/>
    </font>
    <font>
      <b/>
      <u/>
      <sz val="10"/>
      <color theme="1"/>
      <name val="Arial"/>
      <family val="2"/>
    </font>
    <font>
      <b/>
      <sz val="8"/>
      <color theme="1"/>
      <name val="Arial"/>
      <family val="2"/>
    </font>
    <font>
      <sz val="9"/>
      <color theme="1"/>
      <name val="Arial"/>
      <family val="2"/>
    </font>
    <font>
      <b/>
      <sz val="10"/>
      <color theme="1"/>
      <name val="Arial"/>
      <family val="2"/>
    </font>
    <font>
      <i/>
      <sz val="10"/>
      <color theme="1"/>
      <name val="Arial"/>
      <family val="2"/>
    </font>
    <font>
      <b/>
      <sz val="8"/>
      <name val="Arial"/>
      <family val="2"/>
    </font>
    <font>
      <i/>
      <sz val="9"/>
      <color theme="1"/>
      <name val="Arial"/>
      <family val="2"/>
    </font>
    <font>
      <sz val="9"/>
      <color rgb="FF7030A0"/>
      <name val="Arial"/>
      <family val="2"/>
    </font>
    <font>
      <b/>
      <sz val="10"/>
      <color rgb="FF0000FF"/>
      <name val="Arial"/>
      <family val="2"/>
    </font>
    <font>
      <i/>
      <sz val="10"/>
      <color theme="8" tint="-0.249977111117893"/>
      <name val="Arial"/>
      <family val="2"/>
    </font>
    <font>
      <sz val="8"/>
      <color rgb="FF0000FF"/>
      <name val="Arial"/>
      <family val="2"/>
    </font>
    <font>
      <sz val="9"/>
      <name val="Arial"/>
      <family val="2"/>
    </font>
    <font>
      <i/>
      <sz val="10"/>
      <color rgb="FF0000FF"/>
      <name val="Arial"/>
      <family val="2"/>
    </font>
    <font>
      <sz val="8"/>
      <color rgb="FFC00000"/>
      <name val="Arial"/>
      <family val="2"/>
    </font>
    <font>
      <b/>
      <sz val="9"/>
      <color rgb="FF7030A0"/>
      <name val="Arial"/>
      <family val="2"/>
    </font>
    <font>
      <sz val="10"/>
      <color theme="9" tint="-0.249977111117893"/>
      <name val="Arial"/>
      <family val="2"/>
    </font>
    <font>
      <sz val="10"/>
      <color theme="0"/>
      <name val="Arial"/>
      <family val="2"/>
    </font>
    <font>
      <sz val="10"/>
      <color theme="8" tint="-0.249977111117893"/>
      <name val="Arial"/>
      <family val="2"/>
    </font>
    <font>
      <sz val="9"/>
      <color theme="9" tint="-0.249977111117893"/>
      <name val="Arial"/>
      <family val="2"/>
    </font>
    <font>
      <b/>
      <u/>
      <sz val="9"/>
      <color theme="1"/>
      <name val="Arial"/>
      <family val="2"/>
    </font>
    <font>
      <sz val="10"/>
      <color theme="5" tint="-0.249977111117893"/>
      <name val="Arial"/>
      <family val="2"/>
    </font>
    <font>
      <sz val="9"/>
      <color theme="5" tint="-0.249977111117893"/>
      <name val="Arial"/>
      <family val="2"/>
    </font>
    <font>
      <sz val="9"/>
      <color theme="8" tint="-0.249977111117893"/>
      <name val="Arial"/>
      <family val="2"/>
    </font>
    <font>
      <b/>
      <sz val="9"/>
      <color rgb="FF0000FF"/>
      <name val="Arial"/>
      <family val="2"/>
    </font>
    <font>
      <b/>
      <sz val="9"/>
      <color theme="0"/>
      <name val="Arial"/>
      <family val="2"/>
    </font>
    <font>
      <b/>
      <sz val="9"/>
      <color theme="4" tint="0.79998168889431442"/>
      <name val="Arial"/>
      <family val="2"/>
    </font>
    <font>
      <i/>
      <sz val="8"/>
      <color theme="5" tint="-0.249977111117893"/>
      <name val="Arial"/>
      <family val="2"/>
    </font>
    <font>
      <i/>
      <sz val="10"/>
      <color theme="5" tint="-0.249977111117893"/>
      <name val="Arial"/>
      <family val="2"/>
    </font>
    <font>
      <sz val="8"/>
      <color rgb="FFFF0000"/>
      <name val="Arial"/>
      <family val="2"/>
    </font>
    <font>
      <i/>
      <sz val="9"/>
      <color rgb="FF0000FF"/>
      <name val="Arial"/>
      <family val="2"/>
    </font>
    <font>
      <i/>
      <sz val="9"/>
      <name val="Arial"/>
      <family val="2"/>
    </font>
    <font>
      <b/>
      <sz val="9"/>
      <color theme="2" tint="-0.749992370372631"/>
      <name val="Arial"/>
      <family val="2"/>
    </font>
    <font>
      <b/>
      <sz val="9"/>
      <color theme="5" tint="0.39997558519241921"/>
      <name val="Arial"/>
      <family val="2"/>
    </font>
    <font>
      <sz val="8"/>
      <color theme="8" tint="-0.249977111117893"/>
      <name val="Arial"/>
      <family val="2"/>
    </font>
    <font>
      <i/>
      <sz val="9"/>
      <color theme="8" tint="-0.249977111117893"/>
      <name val="Arial"/>
      <family val="2"/>
    </font>
    <font>
      <i/>
      <sz val="9"/>
      <color rgb="FFC00000"/>
      <name val="Arial"/>
      <family val="2"/>
    </font>
    <font>
      <sz val="8"/>
      <color theme="1"/>
      <name val="Arial Narrow"/>
      <family val="2"/>
    </font>
    <font>
      <sz val="10"/>
      <color rgb="FFFF0000"/>
      <name val="Arial"/>
      <family val="2"/>
    </font>
    <font>
      <u/>
      <sz val="10"/>
      <color theme="1"/>
      <name val="Arial"/>
      <family val="2"/>
    </font>
    <font>
      <i/>
      <u/>
      <sz val="10"/>
      <color theme="1"/>
      <name val="Arial"/>
      <family val="2"/>
    </font>
    <font>
      <sz val="10"/>
      <color theme="3" tint="-0.249977111117893"/>
      <name val="Arial"/>
      <family val="2"/>
    </font>
    <font>
      <sz val="11"/>
      <color rgb="FF515656"/>
      <name val="Arial"/>
      <family val="2"/>
    </font>
    <font>
      <i/>
      <sz val="8"/>
      <color theme="1"/>
      <name val="Arial"/>
      <family val="2"/>
    </font>
    <font>
      <b/>
      <sz val="10"/>
      <color rgb="FFC00000"/>
      <name val="Arial Narrow"/>
      <family val="2"/>
    </font>
    <font>
      <sz val="10"/>
      <color theme="1"/>
      <name val="Arial Narrow"/>
      <family val="2"/>
    </font>
    <font>
      <sz val="9"/>
      <color rgb="FF00B0F0"/>
      <name val="Arial"/>
      <family val="2"/>
    </font>
    <font>
      <sz val="9"/>
      <color theme="1"/>
      <name val="Arial Narrow"/>
      <family val="2"/>
    </font>
    <font>
      <b/>
      <sz val="9"/>
      <color theme="7" tint="-0.249977111117893"/>
      <name val="Arial"/>
      <family val="2"/>
    </font>
    <font>
      <sz val="8"/>
      <color rgb="FF2B0CE4"/>
      <name val="Arial Narrow"/>
      <family val="2"/>
    </font>
    <font>
      <sz val="8"/>
      <name val="Arial"/>
      <family val="2"/>
    </font>
    <font>
      <sz val="8"/>
      <name val="Arial Narrow"/>
      <family val="2"/>
    </font>
    <font>
      <sz val="8"/>
      <color theme="5" tint="-0.249977111117893"/>
      <name val="Arial Narrow"/>
      <family val="2"/>
    </font>
    <font>
      <sz val="8"/>
      <color rgb="FF7030A0"/>
      <name val="Arial Narrow"/>
      <family val="2"/>
    </font>
    <font>
      <b/>
      <sz val="9"/>
      <color rgb="FFFF0000"/>
      <name val="Arial"/>
      <family val="2"/>
    </font>
    <font>
      <sz val="9"/>
      <color rgb="FFFF0000"/>
      <name val="Arial"/>
      <family val="2"/>
    </font>
    <font>
      <sz val="10"/>
      <color rgb="FFC00000"/>
      <name val="Arial"/>
      <family val="2"/>
    </font>
    <font>
      <b/>
      <sz val="10"/>
      <color rgb="FFAA1695"/>
      <name val="Arial"/>
      <family val="2"/>
    </font>
    <font>
      <i/>
      <sz val="10"/>
      <color rgb="FFAA1695"/>
      <name val="Arial"/>
      <family val="2"/>
    </font>
    <font>
      <b/>
      <sz val="10"/>
      <color theme="4" tint="-0.249977111117893"/>
      <name val="Arial"/>
      <family val="2"/>
    </font>
    <font>
      <b/>
      <sz val="10"/>
      <color rgb="FF00B050"/>
      <name val="Arial"/>
      <family val="2"/>
    </font>
    <font>
      <b/>
      <sz val="9"/>
      <color rgb="FF00B050"/>
      <name val="Arial"/>
      <family val="2"/>
    </font>
    <font>
      <b/>
      <sz val="10"/>
      <color indexed="12"/>
      <name val="Arial"/>
      <family val="2"/>
    </font>
    <font>
      <b/>
      <sz val="10"/>
      <name val="Arial"/>
      <family val="2"/>
    </font>
    <font>
      <b/>
      <sz val="9"/>
      <color theme="9" tint="-0.249977111117893"/>
      <name val="Arial"/>
      <family val="2"/>
    </font>
    <font>
      <sz val="10"/>
      <color indexed="12"/>
      <name val="Arial"/>
      <family val="2"/>
    </font>
    <font>
      <i/>
      <sz val="10"/>
      <name val="Arial"/>
      <family val="2"/>
    </font>
    <font>
      <sz val="10"/>
      <color rgb="FF00B050"/>
      <name val="Arial"/>
      <family val="2"/>
    </font>
    <font>
      <b/>
      <sz val="9"/>
      <color theme="5" tint="-0.249977111117893"/>
      <name val="Arial"/>
      <family val="2"/>
    </font>
    <font>
      <b/>
      <sz val="9"/>
      <color rgb="FFAA1695"/>
      <name val="Arial"/>
      <family val="2"/>
    </font>
    <font>
      <sz val="9"/>
      <color rgb="FF3E3E3E"/>
      <name val="Arial"/>
      <family val="2"/>
    </font>
    <font>
      <i/>
      <sz val="9"/>
      <color rgb="FF3E3E3E"/>
      <name val="Arial"/>
      <family val="2"/>
    </font>
    <font>
      <sz val="9"/>
      <color rgb="FF3E3E3E"/>
      <name val="Times New Roman"/>
      <family val="1"/>
    </font>
    <font>
      <i/>
      <sz val="8"/>
      <color rgb="FF3E3E3E"/>
      <name val="Times New Roman"/>
      <family val="1"/>
    </font>
    <font>
      <sz val="8"/>
      <color rgb="FF3E3E3E"/>
      <name val="Times New Roman"/>
      <family val="1"/>
    </font>
    <font>
      <b/>
      <sz val="10"/>
      <color theme="5" tint="-0.249977111117893"/>
      <name val="Arial"/>
      <family val="2"/>
    </font>
    <font>
      <sz val="12"/>
      <color theme="1"/>
      <name val="Arial"/>
      <family val="2"/>
    </font>
    <font>
      <sz val="11"/>
      <name val="Arial"/>
      <family val="2"/>
    </font>
    <font>
      <b/>
      <sz val="8"/>
      <color indexed="81"/>
      <name val="Tahoma"/>
      <family val="2"/>
    </font>
    <font>
      <sz val="8"/>
      <color indexed="81"/>
      <name val="Tahoma"/>
      <family val="2"/>
    </font>
  </fonts>
  <fills count="13">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indexed="42"/>
        <bgColor indexed="64"/>
      </patternFill>
    </fill>
    <fill>
      <patternFill patternType="solid">
        <fgColor indexed="41"/>
        <bgColor indexed="64"/>
      </patternFill>
    </fill>
    <fill>
      <patternFill patternType="solid">
        <fgColor theme="5"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0" borderId="0"/>
  </cellStyleXfs>
  <cellXfs count="375">
    <xf numFmtId="0" fontId="0" fillId="0" borderId="0" xfId="0"/>
    <xf numFmtId="0" fontId="2" fillId="0" borderId="1" xfId="2" applyFont="1" applyBorder="1" applyAlignment="1">
      <alignment horizontal="center" shrinkToFit="1"/>
    </xf>
    <xf numFmtId="0" fontId="2" fillId="0" borderId="2" xfId="2" applyFont="1" applyBorder="1" applyAlignment="1">
      <alignment horizontal="center" shrinkToFit="1"/>
    </xf>
    <xf numFmtId="0" fontId="3" fillId="0" borderId="2" xfId="2" applyFont="1" applyBorder="1" applyAlignment="1">
      <alignment horizontal="center"/>
    </xf>
    <xf numFmtId="0" fontId="3" fillId="0" borderId="3" xfId="2" applyFont="1" applyBorder="1" applyAlignment="1">
      <alignment horizontal="center"/>
    </xf>
    <xf numFmtId="0" fontId="4" fillId="0" borderId="4" xfId="0" applyFont="1" applyBorder="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5" xfId="0" applyFont="1" applyBorder="1" applyAlignment="1">
      <alignment horizontal="center"/>
    </xf>
    <xf numFmtId="0" fontId="3" fillId="0" borderId="0" xfId="0" applyFont="1"/>
    <xf numFmtId="0" fontId="7" fillId="0" borderId="6" xfId="2" applyFont="1" applyBorder="1" applyAlignment="1">
      <alignment horizontal="center" shrinkToFit="1"/>
    </xf>
    <xf numFmtId="0" fontId="7" fillId="0" borderId="7" xfId="2" applyFont="1" applyBorder="1" applyAlignment="1">
      <alignment horizontal="center" shrinkToFit="1"/>
    </xf>
    <xf numFmtId="0" fontId="8" fillId="0" borderId="7" xfId="2" applyFont="1" applyBorder="1" applyAlignment="1">
      <alignment horizontal="center"/>
    </xf>
    <xf numFmtId="0" fontId="9" fillId="0" borderId="7" xfId="2" applyFont="1" applyBorder="1" applyAlignment="1">
      <alignment horizontal="center"/>
    </xf>
    <xf numFmtId="0" fontId="10" fillId="0" borderId="7" xfId="0" applyFont="1" applyBorder="1" applyAlignment="1">
      <alignment horizontal="center"/>
    </xf>
    <xf numFmtId="15" fontId="11" fillId="0" borderId="7" xfId="2" applyNumberFormat="1" applyFont="1" applyBorder="1" applyAlignment="1">
      <alignment horizontal="center"/>
    </xf>
    <xf numFmtId="1" fontId="12" fillId="2" borderId="8" xfId="0" applyNumberFormat="1" applyFont="1" applyFill="1" applyBorder="1" applyAlignment="1">
      <alignment horizontal="center" shrinkToFit="1"/>
    </xf>
    <xf numFmtId="1" fontId="5" fillId="0" borderId="0" xfId="0" applyNumberFormat="1" applyFont="1"/>
    <xf numFmtId="0" fontId="5" fillId="0" borderId="0" xfId="0" applyFont="1"/>
    <xf numFmtId="15" fontId="6" fillId="3" borderId="9" xfId="0" applyNumberFormat="1" applyFont="1" applyFill="1" applyBorder="1" applyAlignment="1">
      <alignment horizontal="center"/>
    </xf>
    <xf numFmtId="1" fontId="9" fillId="0" borderId="4" xfId="0" applyNumberFormat="1" applyFont="1" applyBorder="1" applyAlignment="1">
      <alignment shrinkToFit="1"/>
    </xf>
    <xf numFmtId="0" fontId="13" fillId="0" borderId="0" xfId="0" applyFont="1"/>
    <xf numFmtId="0" fontId="5" fillId="0" borderId="10" xfId="0" applyFont="1" applyBorder="1"/>
    <xf numFmtId="0" fontId="14" fillId="0" borderId="0" xfId="0" applyFont="1" applyAlignment="1">
      <alignment horizontal="center"/>
    </xf>
    <xf numFmtId="0" fontId="14" fillId="0" borderId="11" xfId="0" applyFont="1" applyBorder="1" applyAlignment="1">
      <alignment horizontal="center"/>
    </xf>
    <xf numFmtId="0" fontId="11" fillId="0" borderId="9" xfId="0" applyFont="1" applyBorder="1" applyAlignment="1">
      <alignment horizontal="center"/>
    </xf>
    <xf numFmtId="0" fontId="9" fillId="0" borderId="4" xfId="0" applyFont="1" applyBorder="1" applyAlignment="1">
      <alignment shrinkToFit="1"/>
    </xf>
    <xf numFmtId="0" fontId="9" fillId="0" borderId="0" xfId="0" applyFont="1"/>
    <xf numFmtId="0" fontId="15" fillId="0" borderId="0" xfId="0" applyFont="1" applyAlignment="1">
      <alignment horizontal="left"/>
    </xf>
    <xf numFmtId="1" fontId="5" fillId="4" borderId="10" xfId="0" applyNumberFormat="1" applyFont="1" applyFill="1" applyBorder="1"/>
    <xf numFmtId="1" fontId="16" fillId="0" borderId="0" xfId="0" applyNumberFormat="1" applyFont="1"/>
    <xf numFmtId="1" fontId="16" fillId="0" borderId="11" xfId="0" applyNumberFormat="1" applyFont="1" applyBorder="1"/>
    <xf numFmtId="0" fontId="5" fillId="0" borderId="0" xfId="0" applyFont="1" applyAlignment="1">
      <alignment horizontal="right"/>
    </xf>
    <xf numFmtId="15" fontId="11" fillId="0" borderId="9" xfId="0" applyNumberFormat="1" applyFont="1" applyBorder="1" applyAlignment="1">
      <alignment horizontal="center"/>
    </xf>
    <xf numFmtId="0" fontId="9" fillId="0" borderId="9" xfId="0" applyFont="1" applyBorder="1"/>
    <xf numFmtId="1" fontId="5" fillId="4" borderId="12" xfId="0" applyNumberFormat="1" applyFont="1" applyFill="1" applyBorder="1"/>
    <xf numFmtId="15" fontId="15" fillId="0" borderId="13" xfId="0" applyNumberFormat="1" applyFont="1" applyBorder="1" applyAlignment="1">
      <alignment horizontal="center"/>
    </xf>
    <xf numFmtId="0" fontId="17" fillId="0" borderId="0" xfId="0" applyFont="1" applyAlignment="1">
      <alignment horizontal="right"/>
    </xf>
    <xf numFmtId="1" fontId="5" fillId="0" borderId="14" xfId="0" applyNumberFormat="1" applyFont="1" applyBorder="1"/>
    <xf numFmtId="0" fontId="18" fillId="3" borderId="5" xfId="0" applyFont="1" applyFill="1" applyBorder="1" applyAlignment="1">
      <alignment horizontal="center"/>
    </xf>
    <xf numFmtId="0" fontId="19" fillId="0" borderId="0" xfId="0" applyFont="1"/>
    <xf numFmtId="17" fontId="20" fillId="0" borderId="9" xfId="0" applyNumberFormat="1" applyFont="1" applyBorder="1" applyAlignment="1">
      <alignment horizontal="center"/>
    </xf>
    <xf numFmtId="1" fontId="5" fillId="0" borderId="10" xfId="0" applyNumberFormat="1" applyFont="1" applyBorder="1"/>
    <xf numFmtId="0" fontId="20" fillId="0" borderId="13" xfId="0" applyFont="1" applyBorder="1" applyAlignment="1">
      <alignment horizontal="center"/>
    </xf>
    <xf numFmtId="0" fontId="15" fillId="0" borderId="0" xfId="0" applyFont="1"/>
    <xf numFmtId="0" fontId="21" fillId="0" borderId="15" xfId="0" applyFont="1" applyBorder="1" applyAlignment="1">
      <alignment horizontal="right" vertical="center"/>
    </xf>
    <xf numFmtId="0" fontId="8" fillId="0" borderId="0" xfId="0" applyFont="1"/>
    <xf numFmtId="1" fontId="22" fillId="0" borderId="0" xfId="0" applyNumberFormat="1" applyFont="1"/>
    <xf numFmtId="0" fontId="22" fillId="0" borderId="0" xfId="0" applyFont="1"/>
    <xf numFmtId="0" fontId="23" fillId="0" borderId="0" xfId="0" applyFont="1" applyAlignment="1">
      <alignment horizontal="center"/>
    </xf>
    <xf numFmtId="0" fontId="24" fillId="0" borderId="0" xfId="0" applyFont="1" applyAlignment="1">
      <alignment horizontal="left"/>
    </xf>
    <xf numFmtId="0" fontId="5" fillId="0" borderId="0" xfId="0" applyFont="1" applyAlignment="1">
      <alignment horizontal="left"/>
    </xf>
    <xf numFmtId="0" fontId="5" fillId="5" borderId="0" xfId="0" applyFont="1" applyFill="1" applyAlignment="1">
      <alignment horizontal="right"/>
    </xf>
    <xf numFmtId="1" fontId="16" fillId="0" borderId="16" xfId="0" applyNumberFormat="1" applyFont="1" applyBorder="1"/>
    <xf numFmtId="0" fontId="17" fillId="6" borderId="0" xfId="0" applyFont="1" applyFill="1" applyAlignment="1">
      <alignment horizontal="left" indent="1"/>
    </xf>
    <xf numFmtId="0" fontId="17" fillId="6" borderId="0" xfId="0" applyFont="1" applyFill="1"/>
    <xf numFmtId="0" fontId="15" fillId="0" borderId="0" xfId="0" applyFont="1" applyAlignment="1">
      <alignment horizontal="right"/>
    </xf>
    <xf numFmtId="1" fontId="5" fillId="0" borderId="0" xfId="0" applyNumberFormat="1" applyFont="1" applyAlignment="1">
      <alignment horizontal="right"/>
    </xf>
    <xf numFmtId="9" fontId="26" fillId="0" borderId="0" xfId="0" applyNumberFormat="1" applyFont="1"/>
    <xf numFmtId="0" fontId="15" fillId="0" borderId="17" xfId="0" applyFont="1" applyBorder="1"/>
    <xf numFmtId="0" fontId="5" fillId="5" borderId="12" xfId="0" applyFont="1" applyFill="1" applyBorder="1"/>
    <xf numFmtId="0" fontId="16" fillId="0" borderId="12" xfId="0" applyFont="1" applyBorder="1"/>
    <xf numFmtId="0" fontId="27" fillId="0" borderId="0" xfId="0" applyFont="1"/>
    <xf numFmtId="0" fontId="28" fillId="0" borderId="0" xfId="0" applyFont="1"/>
    <xf numFmtId="0" fontId="29" fillId="7" borderId="7" xfId="0" applyFont="1" applyFill="1" applyBorder="1" applyAlignment="1">
      <alignment horizontal="center"/>
    </xf>
    <xf numFmtId="0" fontId="15" fillId="0" borderId="0" xfId="0" applyFont="1" applyAlignment="1">
      <alignment horizontal="center"/>
    </xf>
    <xf numFmtId="0" fontId="30" fillId="0" borderId="0" xfId="0" applyFont="1"/>
    <xf numFmtId="0" fontId="15" fillId="0" borderId="1" xfId="0" applyFont="1" applyBorder="1"/>
    <xf numFmtId="0" fontId="6" fillId="0" borderId="3" xfId="0" applyFont="1" applyBorder="1" applyAlignment="1">
      <alignment horizontal="center"/>
    </xf>
    <xf numFmtId="0" fontId="17" fillId="0" borderId="0" xfId="0" applyFont="1"/>
    <xf numFmtId="0" fontId="19" fillId="0" borderId="0" xfId="0" applyFont="1" applyAlignment="1">
      <alignment horizontal="right"/>
    </xf>
    <xf numFmtId="0" fontId="31" fillId="0" borderId="4" xfId="0" applyFont="1" applyBorder="1"/>
    <xf numFmtId="0" fontId="6" fillId="0" borderId="11" xfId="0" applyFont="1" applyBorder="1" applyAlignment="1">
      <alignment horizontal="center"/>
    </xf>
    <xf numFmtId="0" fontId="32" fillId="0" borderId="0" xfId="0" applyFont="1"/>
    <xf numFmtId="0" fontId="19" fillId="0" borderId="0" xfId="0" applyFont="1" applyAlignment="1">
      <alignment horizontal="center"/>
    </xf>
    <xf numFmtId="0" fontId="33" fillId="0" borderId="17" xfId="0" applyFont="1" applyBorder="1"/>
    <xf numFmtId="0" fontId="16" fillId="0" borderId="0" xfId="0" applyFont="1" applyAlignment="1">
      <alignment horizontal="right" vertical="center"/>
    </xf>
    <xf numFmtId="0" fontId="15" fillId="0" borderId="4" xfId="0" applyFont="1" applyBorder="1"/>
    <xf numFmtId="0" fontId="8" fillId="0" borderId="0" xfId="0" applyFont="1" applyAlignment="1">
      <alignment horizontal="left" indent="2"/>
    </xf>
    <xf numFmtId="0" fontId="34" fillId="0" borderId="4" xfId="0" applyFont="1" applyBorder="1"/>
    <xf numFmtId="0" fontId="17" fillId="0" borderId="0" xfId="0" applyFont="1" applyAlignment="1">
      <alignment horizontal="left" indent="1"/>
    </xf>
    <xf numFmtId="0" fontId="9" fillId="0" borderId="0" xfId="0" applyFont="1" applyAlignment="1">
      <alignment horizontal="center"/>
    </xf>
    <xf numFmtId="0" fontId="35" fillId="0" borderId="4" xfId="0" applyFont="1" applyBorder="1"/>
    <xf numFmtId="0" fontId="8" fillId="0" borderId="6" xfId="0" applyFont="1" applyBorder="1" applyAlignment="1">
      <alignment horizontal="center"/>
    </xf>
    <xf numFmtId="0" fontId="36" fillId="0" borderId="8" xfId="0" applyFont="1" applyBorder="1" applyAlignment="1">
      <alignment horizontal="center"/>
    </xf>
    <xf numFmtId="0" fontId="10" fillId="0" borderId="0" xfId="0" applyFont="1"/>
    <xf numFmtId="0" fontId="5" fillId="7" borderId="0" xfId="0" applyFont="1" applyFill="1" applyAlignment="1">
      <alignment horizontal="center"/>
    </xf>
    <xf numFmtId="0" fontId="29" fillId="7" borderId="0" xfId="0" applyFont="1" applyFill="1" applyAlignment="1">
      <alignment horizontal="center"/>
    </xf>
    <xf numFmtId="0" fontId="29" fillId="7" borderId="0" xfId="0" applyFont="1" applyFill="1"/>
    <xf numFmtId="0" fontId="37" fillId="7" borderId="0" xfId="0" applyFont="1" applyFill="1" applyAlignment="1">
      <alignment horizontal="center"/>
    </xf>
    <xf numFmtId="0" fontId="39" fillId="0" borderId="0" xfId="0" applyFont="1" applyAlignment="1">
      <alignment horizontal="center"/>
    </xf>
    <xf numFmtId="0" fontId="33" fillId="0" borderId="0" xfId="0" applyFont="1" applyAlignment="1">
      <alignment horizontal="left"/>
    </xf>
    <xf numFmtId="0" fontId="40" fillId="0" borderId="0" xfId="0" applyFont="1"/>
    <xf numFmtId="0" fontId="5" fillId="0" borderId="0" xfId="0" applyFont="1" applyAlignment="1">
      <alignment horizontal="left" indent="1"/>
    </xf>
    <xf numFmtId="49" fontId="5" fillId="0" borderId="0" xfId="0" applyNumberFormat="1" applyFont="1"/>
    <xf numFmtId="0" fontId="41" fillId="8" borderId="4" xfId="0" applyFont="1" applyFill="1" applyBorder="1" applyAlignment="1">
      <alignment shrinkToFit="1"/>
    </xf>
    <xf numFmtId="0" fontId="6" fillId="8" borderId="0" xfId="0" applyFont="1" applyFill="1" applyAlignment="1">
      <alignment horizontal="center"/>
    </xf>
    <xf numFmtId="0" fontId="1" fillId="8" borderId="0" xfId="0" applyFont="1" applyFill="1"/>
    <xf numFmtId="0" fontId="42" fillId="8" borderId="0" xfId="0" applyFont="1" applyFill="1" applyAlignment="1">
      <alignment horizontal="center"/>
    </xf>
    <xf numFmtId="0" fontId="1" fillId="8" borderId="0" xfId="0" applyFont="1" applyFill="1" applyAlignment="1">
      <alignment horizontal="right"/>
    </xf>
    <xf numFmtId="0" fontId="40" fillId="0" borderId="0" xfId="0" applyFont="1" applyAlignment="1">
      <alignment horizontal="center"/>
    </xf>
    <xf numFmtId="0" fontId="9" fillId="8" borderId="4" xfId="0" applyFont="1" applyFill="1" applyBorder="1" applyAlignment="1">
      <alignment shrinkToFit="1"/>
    </xf>
    <xf numFmtId="9" fontId="15" fillId="8" borderId="0" xfId="0" applyNumberFormat="1" applyFont="1" applyFill="1" applyAlignment="1">
      <alignment horizontal="center"/>
    </xf>
    <xf numFmtId="0" fontId="43" fillId="8" borderId="0" xfId="0" applyFont="1" applyFill="1" applyAlignment="1">
      <alignment horizontal="left" indent="1"/>
    </xf>
    <xf numFmtId="0" fontId="1" fillId="8" borderId="17" xfId="0" applyFont="1" applyFill="1" applyBorder="1" applyAlignment="1">
      <alignment horizontal="right"/>
    </xf>
    <xf numFmtId="9" fontId="15" fillId="0" borderId="0" xfId="0" applyNumberFormat="1" applyFont="1" applyAlignment="1">
      <alignment horizontal="center"/>
    </xf>
    <xf numFmtId="0" fontId="43" fillId="0" borderId="0" xfId="0" applyFont="1" applyAlignment="1">
      <alignment horizontal="left" indent="1"/>
    </xf>
    <xf numFmtId="0" fontId="1" fillId="0" borderId="0" xfId="0" applyFont="1"/>
    <xf numFmtId="0" fontId="42" fillId="0" borderId="0" xfId="0" applyFont="1" applyAlignment="1">
      <alignment horizontal="center"/>
    </xf>
    <xf numFmtId="0" fontId="1" fillId="0" borderId="0" xfId="0" applyFont="1" applyAlignment="1">
      <alignment horizontal="right"/>
    </xf>
    <xf numFmtId="49" fontId="36" fillId="9" borderId="18" xfId="0" applyNumberFormat="1" applyFont="1" applyFill="1" applyBorder="1" applyAlignment="1">
      <alignment horizontal="right"/>
    </xf>
    <xf numFmtId="49" fontId="36" fillId="9" borderId="19" xfId="0" applyNumberFormat="1" applyFont="1" applyFill="1" applyBorder="1" applyAlignment="1">
      <alignment horizontal="right"/>
    </xf>
    <xf numFmtId="0" fontId="36" fillId="9" borderId="19" xfId="0" applyFont="1" applyFill="1" applyBorder="1" applyAlignment="1">
      <alignment horizontal="center"/>
    </xf>
    <xf numFmtId="0" fontId="10" fillId="9" borderId="20" xfId="0" applyFont="1" applyFill="1" applyBorder="1" applyAlignment="1">
      <alignment horizontal="center"/>
    </xf>
    <xf numFmtId="0" fontId="41" fillId="10" borderId="4" xfId="0" applyFont="1" applyFill="1" applyBorder="1" applyAlignment="1">
      <alignment shrinkToFit="1"/>
    </xf>
    <xf numFmtId="0" fontId="6" fillId="10" borderId="0" xfId="0" applyFont="1" applyFill="1" applyAlignment="1">
      <alignment horizontal="center"/>
    </xf>
    <xf numFmtId="0" fontId="5" fillId="10" borderId="0" xfId="0" applyFont="1" applyFill="1"/>
    <xf numFmtId="0" fontId="42" fillId="10" borderId="0" xfId="0" applyFont="1" applyFill="1" applyAlignment="1">
      <alignment horizontal="center"/>
    </xf>
    <xf numFmtId="0" fontId="46" fillId="0" borderId="0" xfId="0" applyFont="1" applyAlignment="1">
      <alignment horizontal="center"/>
    </xf>
    <xf numFmtId="0" fontId="30" fillId="0" borderId="0" xfId="0" applyFont="1" applyAlignment="1">
      <alignment horizontal="left"/>
    </xf>
    <xf numFmtId="0" fontId="9" fillId="10" borderId="4" xfId="0" applyFont="1" applyFill="1" applyBorder="1" applyAlignment="1">
      <alignment shrinkToFit="1"/>
    </xf>
    <xf numFmtId="0" fontId="15" fillId="10" borderId="0" xfId="0" applyFont="1" applyFill="1" applyAlignment="1">
      <alignment horizontal="center"/>
    </xf>
    <xf numFmtId="0" fontId="43" fillId="10" borderId="0" xfId="0" applyFont="1" applyFill="1" applyAlignment="1">
      <alignment horizontal="left" indent="1"/>
    </xf>
    <xf numFmtId="0" fontId="5" fillId="10" borderId="17" xfId="0" applyFont="1" applyFill="1" applyBorder="1"/>
    <xf numFmtId="0" fontId="5" fillId="10" borderId="12" xfId="0" applyFont="1" applyFill="1" applyBorder="1"/>
    <xf numFmtId="0" fontId="47" fillId="0" borderId="0" xfId="0" applyFont="1" applyAlignment="1">
      <alignment horizontal="left" indent="2"/>
    </xf>
    <xf numFmtId="0" fontId="48" fillId="0" borderId="0" xfId="0" applyFont="1" applyAlignment="1">
      <alignment horizontal="left"/>
    </xf>
    <xf numFmtId="0" fontId="49" fillId="0" borderId="0" xfId="0" applyFont="1" applyAlignment="1">
      <alignment horizontal="center"/>
    </xf>
    <xf numFmtId="0" fontId="1" fillId="0" borderId="0" xfId="0" applyFont="1" applyAlignment="1">
      <alignment horizontal="left"/>
    </xf>
    <xf numFmtId="0" fontId="10" fillId="0" borderId="0" xfId="0" applyFont="1" applyAlignment="1">
      <alignment horizontal="center"/>
    </xf>
    <xf numFmtId="14" fontId="50" fillId="0" borderId="0" xfId="0" applyNumberFormat="1" applyFont="1" applyAlignment="1">
      <alignment horizontal="center"/>
    </xf>
    <xf numFmtId="1" fontId="5" fillId="0" borderId="12" xfId="0" applyNumberFormat="1" applyFont="1" applyBorder="1"/>
    <xf numFmtId="1" fontId="16" fillId="0" borderId="21" xfId="0" applyNumberFormat="1" applyFont="1" applyBorder="1"/>
    <xf numFmtId="1" fontId="21" fillId="0" borderId="22" xfId="0" applyNumberFormat="1" applyFont="1" applyBorder="1"/>
    <xf numFmtId="1" fontId="21" fillId="0" borderId="11" xfId="0" applyNumberFormat="1" applyFont="1" applyBorder="1"/>
    <xf numFmtId="0" fontId="51" fillId="0" borderId="0" xfId="0" applyFont="1"/>
    <xf numFmtId="0" fontId="52" fillId="0" borderId="0" xfId="0" applyFont="1"/>
    <xf numFmtId="0" fontId="53" fillId="0" borderId="0" xfId="0" applyFont="1"/>
    <xf numFmtId="0" fontId="5" fillId="5" borderId="0" xfId="0" applyFont="1" applyFill="1"/>
    <xf numFmtId="0" fontId="16" fillId="0" borderId="0" xfId="0" applyFont="1"/>
    <xf numFmtId="0" fontId="54" fillId="0" borderId="0" xfId="0" applyFont="1"/>
    <xf numFmtId="0" fontId="16" fillId="0" borderId="0" xfId="0" applyFont="1" applyAlignment="1">
      <alignment vertical="center"/>
    </xf>
    <xf numFmtId="1" fontId="49" fillId="0" borderId="0" xfId="0" applyNumberFormat="1" applyFont="1" applyAlignment="1">
      <alignment horizontal="left"/>
    </xf>
    <xf numFmtId="0" fontId="49" fillId="0" borderId="0" xfId="0" applyFont="1" applyAlignment="1">
      <alignment horizontal="left"/>
    </xf>
    <xf numFmtId="0" fontId="9" fillId="0" borderId="0" xfId="0" applyFont="1" applyAlignment="1">
      <alignment horizontal="right"/>
    </xf>
    <xf numFmtId="1" fontId="16" fillId="3" borderId="23" xfId="0" applyNumberFormat="1" applyFont="1" applyFill="1" applyBorder="1"/>
    <xf numFmtId="1" fontId="16" fillId="3" borderId="24" xfId="0" applyNumberFormat="1" applyFont="1" applyFill="1" applyBorder="1"/>
    <xf numFmtId="0" fontId="8" fillId="0" borderId="0" xfId="0" applyFont="1" applyAlignment="1">
      <alignment horizontal="right"/>
    </xf>
    <xf numFmtId="0" fontId="8" fillId="0" borderId="0" xfId="0" applyFont="1" applyAlignment="1">
      <alignment horizontal="center"/>
    </xf>
    <xf numFmtId="0" fontId="15" fillId="0" borderId="16" xfId="0" applyFont="1" applyBorder="1"/>
    <xf numFmtId="0" fontId="15" fillId="0" borderId="11" xfId="0" applyFont="1" applyBorder="1"/>
    <xf numFmtId="9" fontId="5" fillId="0" borderId="0" xfId="0" applyNumberFormat="1" applyFont="1" applyAlignment="1">
      <alignment horizontal="center"/>
    </xf>
    <xf numFmtId="1" fontId="9" fillId="0" borderId="0" xfId="0" applyNumberFormat="1" applyFont="1" applyAlignment="1">
      <alignment horizontal="center" shrinkToFit="1"/>
    </xf>
    <xf numFmtId="0" fontId="55" fillId="0" borderId="0" xfId="0" applyFont="1" applyAlignment="1">
      <alignment horizontal="right"/>
    </xf>
    <xf numFmtId="0" fontId="36" fillId="0" borderId="0" xfId="0" applyFont="1" applyAlignment="1">
      <alignment horizontal="center"/>
    </xf>
    <xf numFmtId="9" fontId="55" fillId="0" borderId="0" xfId="0" applyNumberFormat="1" applyFont="1" applyAlignment="1">
      <alignment horizontal="center"/>
    </xf>
    <xf numFmtId="1" fontId="5" fillId="5" borderId="0" xfId="0" applyNumberFormat="1" applyFont="1" applyFill="1"/>
    <xf numFmtId="9" fontId="19" fillId="0" borderId="0" xfId="0" applyNumberFormat="1" applyFont="1" applyAlignment="1">
      <alignment horizontal="center"/>
    </xf>
    <xf numFmtId="0" fontId="5" fillId="0" borderId="16" xfId="0" applyFont="1" applyBorder="1"/>
    <xf numFmtId="0" fontId="5" fillId="0" borderId="11" xfId="0" applyFont="1" applyBorder="1"/>
    <xf numFmtId="0" fontId="16" fillId="11" borderId="15" xfId="0" applyFont="1" applyFill="1" applyBorder="1"/>
    <xf numFmtId="1" fontId="16" fillId="0" borderId="16" xfId="0" applyNumberFormat="1" applyFont="1" applyBorder="1" applyAlignment="1">
      <alignment horizontal="right"/>
    </xf>
    <xf numFmtId="1" fontId="16" fillId="0" borderId="11" xfId="0" applyNumberFormat="1" applyFont="1" applyBorder="1" applyAlignment="1">
      <alignment horizontal="right"/>
    </xf>
    <xf numFmtId="0" fontId="5" fillId="0" borderId="12" xfId="0" applyFont="1" applyBorder="1" applyAlignment="1">
      <alignment horizontal="right"/>
    </xf>
    <xf numFmtId="1" fontId="5" fillId="0" borderId="16" xfId="0" applyNumberFormat="1" applyFont="1" applyBorder="1" applyAlignment="1">
      <alignment horizontal="right"/>
    </xf>
    <xf numFmtId="1" fontId="5" fillId="0" borderId="11" xfId="0" applyNumberFormat="1" applyFont="1" applyBorder="1" applyAlignment="1">
      <alignment horizontal="right"/>
    </xf>
    <xf numFmtId="9" fontId="10" fillId="0" borderId="0" xfId="0" applyNumberFormat="1" applyFont="1" applyAlignment="1">
      <alignment horizontal="center"/>
    </xf>
    <xf numFmtId="1" fontId="5" fillId="0" borderId="25" xfId="0" applyNumberFormat="1" applyFont="1" applyBorder="1" applyAlignment="1">
      <alignment horizontal="right"/>
    </xf>
    <xf numFmtId="1" fontId="5" fillId="0" borderId="21" xfId="0" applyNumberFormat="1" applyFont="1" applyBorder="1" applyAlignment="1">
      <alignment horizontal="right"/>
    </xf>
    <xf numFmtId="0" fontId="5" fillId="12" borderId="0" xfId="0" applyFont="1" applyFill="1" applyAlignment="1">
      <alignment horizontal="left"/>
    </xf>
    <xf numFmtId="0" fontId="15" fillId="12" borderId="0" xfId="0" applyFont="1" applyFill="1" applyAlignment="1">
      <alignment horizontal="center"/>
    </xf>
    <xf numFmtId="0" fontId="49" fillId="0" borderId="0" xfId="0" applyFont="1"/>
    <xf numFmtId="1" fontId="15" fillId="12" borderId="0" xfId="0" applyNumberFormat="1" applyFont="1" applyFill="1" applyAlignment="1">
      <alignment horizontal="left" indent="1"/>
    </xf>
    <xf numFmtId="1" fontId="15" fillId="12" borderId="0" xfId="0" applyNumberFormat="1" applyFont="1" applyFill="1"/>
    <xf numFmtId="1" fontId="8" fillId="0" borderId="0" xfId="0" applyNumberFormat="1" applyFont="1"/>
    <xf numFmtId="0" fontId="56" fillId="0" borderId="0" xfId="0" applyFont="1" applyAlignment="1">
      <alignment horizontal="left"/>
    </xf>
    <xf numFmtId="0" fontId="23" fillId="0" borderId="0" xfId="0" applyFont="1" applyAlignment="1">
      <alignment horizontal="right"/>
    </xf>
    <xf numFmtId="1" fontId="15" fillId="0" borderId="0" xfId="0" applyNumberFormat="1" applyFont="1"/>
    <xf numFmtId="1" fontId="5" fillId="0" borderId="25" xfId="0" applyNumberFormat="1" applyFont="1" applyBorder="1"/>
    <xf numFmtId="1" fontId="5" fillId="0" borderId="21" xfId="0" applyNumberFormat="1" applyFont="1" applyBorder="1"/>
    <xf numFmtId="1" fontId="15" fillId="0" borderId="0" xfId="0" applyNumberFormat="1" applyFont="1" applyAlignment="1">
      <alignment horizontal="right" indent="1"/>
    </xf>
    <xf numFmtId="1" fontId="36" fillId="0" borderId="0" xfId="0" applyNumberFormat="1" applyFont="1"/>
    <xf numFmtId="15" fontId="6" fillId="0" borderId="0" xfId="2" applyNumberFormat="1" applyFont="1" applyAlignment="1">
      <alignment horizontal="center"/>
    </xf>
    <xf numFmtId="0" fontId="57" fillId="0" borderId="0" xfId="0" applyFont="1" applyAlignment="1">
      <alignment horizontal="left" shrinkToFit="1"/>
    </xf>
    <xf numFmtId="0" fontId="57" fillId="0" borderId="0" xfId="0" applyFont="1" applyAlignment="1">
      <alignment horizontal="left" shrinkToFit="1"/>
    </xf>
    <xf numFmtId="1" fontId="26" fillId="0" borderId="0" xfId="0" applyNumberFormat="1" applyFont="1"/>
    <xf numFmtId="1" fontId="36" fillId="0" borderId="0" xfId="0" applyNumberFormat="1" applyFont="1" applyAlignment="1">
      <alignment horizontal="left"/>
    </xf>
    <xf numFmtId="1" fontId="58" fillId="0" borderId="0" xfId="0" applyNumberFormat="1" applyFont="1" applyAlignment="1">
      <alignment horizontal="center"/>
    </xf>
    <xf numFmtId="0" fontId="59" fillId="0" borderId="0" xfId="0" applyFont="1" applyAlignment="1">
      <alignment horizontal="left" shrinkToFit="1"/>
    </xf>
    <xf numFmtId="0" fontId="21" fillId="8" borderId="0" xfId="0" applyFont="1" applyFill="1"/>
    <xf numFmtId="0" fontId="5" fillId="8" borderId="0" xfId="0" applyFont="1" applyFill="1"/>
    <xf numFmtId="1" fontId="9" fillId="0" borderId="26" xfId="0" applyNumberFormat="1" applyFont="1" applyBorder="1" applyAlignment="1">
      <alignment shrinkToFit="1"/>
    </xf>
    <xf numFmtId="0" fontId="16" fillId="0" borderId="27" xfId="0" applyFont="1" applyBorder="1"/>
    <xf numFmtId="0" fontId="5" fillId="0" borderId="27" xfId="0" applyFont="1" applyBorder="1"/>
    <xf numFmtId="0" fontId="60" fillId="0" borderId="27" xfId="0" applyFont="1" applyBorder="1"/>
    <xf numFmtId="0" fontId="49" fillId="0" borderId="27" xfId="0" applyFont="1" applyBorder="1" applyAlignment="1">
      <alignment horizontal="left"/>
    </xf>
    <xf numFmtId="0" fontId="5" fillId="0" borderId="27" xfId="0" applyFont="1" applyBorder="1" applyAlignment="1">
      <alignment horizontal="center"/>
    </xf>
    <xf numFmtId="1" fontId="16" fillId="3" borderId="28" xfId="2" applyNumberFormat="1" applyFont="1" applyFill="1" applyBorder="1"/>
    <xf numFmtId="1" fontId="16" fillId="3" borderId="29" xfId="2" applyNumberFormat="1" applyFont="1" applyFill="1" applyBorder="1"/>
    <xf numFmtId="1" fontId="5" fillId="8" borderId="0" xfId="0" applyNumberFormat="1" applyFont="1" applyFill="1"/>
    <xf numFmtId="0" fontId="61" fillId="0" borderId="1" xfId="0" applyFont="1" applyBorder="1" applyAlignment="1">
      <alignment horizontal="center"/>
    </xf>
    <xf numFmtId="0" fontId="61" fillId="0" borderId="2" xfId="0" applyFont="1" applyBorder="1" applyAlignment="1">
      <alignment horizontal="center"/>
    </xf>
    <xf numFmtId="0" fontId="61" fillId="0" borderId="3" xfId="0" applyFont="1" applyBorder="1" applyAlignment="1">
      <alignment horizontal="center"/>
    </xf>
    <xf numFmtId="0" fontId="15" fillId="8" borderId="0" xfId="0" applyFont="1" applyFill="1" applyAlignment="1">
      <alignment horizontal="left"/>
    </xf>
    <xf numFmtId="0" fontId="5" fillId="8" borderId="17" xfId="0" applyFont="1" applyFill="1" applyBorder="1"/>
    <xf numFmtId="14" fontId="62" fillId="0" borderId="6" xfId="0" applyNumberFormat="1" applyFont="1" applyBorder="1" applyAlignment="1">
      <alignment horizontal="center" shrinkToFit="1"/>
    </xf>
    <xf numFmtId="0" fontId="62" fillId="0" borderId="7" xfId="0" applyFont="1" applyBorder="1" applyAlignment="1">
      <alignment horizontal="center" shrinkToFit="1"/>
    </xf>
    <xf numFmtId="0" fontId="31" fillId="0" borderId="7" xfId="0" applyFont="1" applyBorder="1"/>
    <xf numFmtId="0" fontId="63" fillId="0" borderId="7" xfId="0" applyFont="1" applyBorder="1" applyAlignment="1">
      <alignment horizontal="center"/>
    </xf>
    <xf numFmtId="0" fontId="64" fillId="0" borderId="7" xfId="0" applyFont="1" applyBorder="1" applyAlignment="1">
      <alignment horizontal="center"/>
    </xf>
    <xf numFmtId="0" fontId="65" fillId="0" borderId="7" xfId="0" applyFont="1" applyBorder="1" applyAlignment="1">
      <alignment horizontal="center"/>
    </xf>
    <xf numFmtId="0" fontId="65" fillId="0" borderId="8" xfId="0" applyFont="1" applyBorder="1" applyAlignment="1">
      <alignment horizontal="center"/>
    </xf>
    <xf numFmtId="1" fontId="16" fillId="8" borderId="0" xfId="0" applyNumberFormat="1" applyFont="1" applyFill="1"/>
    <xf numFmtId="0" fontId="62" fillId="0" borderId="0" xfId="0" applyFont="1" applyAlignment="1">
      <alignment shrinkToFit="1"/>
    </xf>
    <xf numFmtId="0" fontId="57" fillId="0" borderId="0" xfId="0" applyFont="1"/>
    <xf numFmtId="0" fontId="62" fillId="0" borderId="0" xfId="0" applyFont="1"/>
    <xf numFmtId="0" fontId="15" fillId="8" borderId="0" xfId="0" applyFont="1" applyFill="1" applyAlignment="1">
      <alignment horizontal="left" indent="11"/>
    </xf>
    <xf numFmtId="9" fontId="5" fillId="8" borderId="0" xfId="0" applyNumberFormat="1" applyFont="1" applyFill="1" applyAlignment="1">
      <alignment horizontal="center"/>
    </xf>
    <xf numFmtId="0" fontId="16" fillId="8" borderId="15" xfId="0" applyFont="1" applyFill="1" applyBorder="1"/>
    <xf numFmtId="0" fontId="24" fillId="0" borderId="0" xfId="0" applyFont="1" applyAlignment="1">
      <alignment shrinkToFit="1"/>
    </xf>
    <xf numFmtId="0" fontId="66" fillId="0" borderId="0" xfId="0" applyFont="1"/>
    <xf numFmtId="0" fontId="24" fillId="0" borderId="0" xfId="0" applyFont="1"/>
    <xf numFmtId="0" fontId="24" fillId="0" borderId="0" xfId="0" applyFont="1" applyAlignment="1">
      <alignment horizontal="center"/>
    </xf>
    <xf numFmtId="0" fontId="62" fillId="0" borderId="0" xfId="0" applyFont="1" applyAlignment="1">
      <alignment horizontal="center"/>
    </xf>
    <xf numFmtId="0" fontId="24" fillId="0" borderId="0" xfId="0" applyFont="1" applyAlignment="1">
      <alignment horizontal="left" indent="1"/>
    </xf>
    <xf numFmtId="0" fontId="62" fillId="6" borderId="0" xfId="0" applyFont="1" applyFill="1" applyAlignment="1">
      <alignment horizontal="left"/>
    </xf>
    <xf numFmtId="0" fontId="24" fillId="6" borderId="0" xfId="0" applyFont="1" applyFill="1"/>
    <xf numFmtId="0" fontId="5" fillId="6" borderId="0" xfId="0" applyFont="1" applyFill="1"/>
    <xf numFmtId="0" fontId="62" fillId="0" borderId="0" xfId="0" applyFont="1" applyAlignment="1">
      <alignment horizontal="center"/>
    </xf>
    <xf numFmtId="0" fontId="15" fillId="0" borderId="0" xfId="0" applyFont="1" applyAlignment="1">
      <alignment shrinkToFit="1"/>
    </xf>
    <xf numFmtId="0" fontId="15" fillId="6" borderId="0" xfId="0" applyFont="1" applyFill="1"/>
    <xf numFmtId="0" fontId="18" fillId="0" borderId="0" xfId="0" applyFont="1" applyAlignment="1">
      <alignment horizontal="center"/>
    </xf>
    <xf numFmtId="0" fontId="9" fillId="0" borderId="0" xfId="0" applyFont="1" applyAlignment="1">
      <alignment shrinkToFit="1"/>
    </xf>
    <xf numFmtId="0" fontId="59" fillId="0" borderId="0" xfId="0" applyFont="1"/>
    <xf numFmtId="0" fontId="1" fillId="0" borderId="0" xfId="0" applyFont="1" applyAlignment="1">
      <alignment horizontal="center"/>
    </xf>
    <xf numFmtId="0" fontId="11" fillId="0" borderId="0" xfId="0" applyFont="1" applyAlignment="1">
      <alignment horizontal="left" indent="1"/>
    </xf>
    <xf numFmtId="0" fontId="68" fillId="0" borderId="0" xfId="0" applyFont="1" applyAlignment="1">
      <alignment horizontal="left"/>
    </xf>
    <xf numFmtId="0" fontId="68" fillId="0" borderId="0" xfId="0" applyFont="1" applyAlignment="1">
      <alignment horizontal="center"/>
    </xf>
    <xf numFmtId="0" fontId="69" fillId="0" borderId="0" xfId="0" applyFont="1"/>
    <xf numFmtId="0" fontId="6" fillId="0" borderId="0" xfId="0" applyFont="1" applyAlignment="1">
      <alignment horizontal="left" indent="1"/>
    </xf>
    <xf numFmtId="1" fontId="1" fillId="0" borderId="0" xfId="0" applyNumberFormat="1" applyFont="1"/>
    <xf numFmtId="0" fontId="31" fillId="0" borderId="0" xfId="0" applyFont="1" applyAlignment="1">
      <alignment horizontal="left" indent="1"/>
    </xf>
    <xf numFmtId="0" fontId="35" fillId="0" borderId="0" xfId="0" applyFont="1" applyAlignment="1">
      <alignment horizontal="left" indent="1"/>
    </xf>
    <xf numFmtId="0" fontId="21" fillId="0" borderId="0" xfId="0" applyFont="1"/>
    <xf numFmtId="0" fontId="5" fillId="0" borderId="17" xfId="0" applyFont="1" applyBorder="1"/>
    <xf numFmtId="1" fontId="5" fillId="0" borderId="17" xfId="0" applyNumberFormat="1" applyFont="1" applyBorder="1"/>
    <xf numFmtId="0" fontId="5" fillId="0" borderId="15" xfId="0" applyFont="1" applyBorder="1"/>
    <xf numFmtId="0" fontId="9" fillId="0" borderId="15" xfId="0" applyFont="1" applyBorder="1" applyAlignment="1">
      <alignment horizontal="right"/>
    </xf>
    <xf numFmtId="1" fontId="5" fillId="0" borderId="15" xfId="0" applyNumberFormat="1" applyFont="1" applyBorder="1"/>
    <xf numFmtId="1" fontId="10" fillId="0" borderId="0" xfId="0" applyNumberFormat="1" applyFont="1"/>
    <xf numFmtId="0" fontId="9" fillId="0" borderId="0" xfId="0" applyFont="1" applyAlignment="1">
      <alignment horizontal="left"/>
    </xf>
    <xf numFmtId="0" fontId="70" fillId="0" borderId="0" xfId="0" applyFont="1" applyAlignment="1">
      <alignment horizontal="left" indent="1"/>
    </xf>
    <xf numFmtId="0" fontId="9" fillId="0" borderId="15" xfId="0" applyFont="1" applyBorder="1" applyAlignment="1">
      <alignment horizontal="left"/>
    </xf>
    <xf numFmtId="0" fontId="71" fillId="10" borderId="1" xfId="2" applyFont="1" applyFill="1" applyBorder="1" applyAlignment="1">
      <alignment horizontal="center"/>
    </xf>
    <xf numFmtId="0" fontId="71" fillId="10" borderId="2" xfId="2" applyFont="1" applyFill="1" applyBorder="1" applyAlignment="1">
      <alignment horizontal="center"/>
    </xf>
    <xf numFmtId="0" fontId="71" fillId="10" borderId="3" xfId="2" applyFont="1" applyFill="1" applyBorder="1" applyAlignment="1">
      <alignment horizontal="center"/>
    </xf>
    <xf numFmtId="0" fontId="68" fillId="0" borderId="0" xfId="0" applyFont="1"/>
    <xf numFmtId="0" fontId="1" fillId="10" borderId="4" xfId="2" applyFill="1" applyBorder="1" applyAlignment="1">
      <alignment horizontal="left" indent="1"/>
    </xf>
    <xf numFmtId="0" fontId="1" fillId="10" borderId="11" xfId="2" applyFill="1" applyBorder="1" applyAlignment="1">
      <alignment horizontal="center"/>
    </xf>
    <xf numFmtId="9" fontId="1" fillId="10" borderId="11" xfId="1" applyFont="1" applyFill="1" applyBorder="1" applyAlignment="1">
      <alignment horizontal="center"/>
    </xf>
    <xf numFmtId="0" fontId="72" fillId="6" borderId="4" xfId="2" applyFont="1" applyFill="1" applyBorder="1" applyAlignment="1">
      <alignment horizontal="center"/>
    </xf>
    <xf numFmtId="0" fontId="72" fillId="6" borderId="0" xfId="2" applyFont="1" applyFill="1" applyAlignment="1">
      <alignment horizontal="center"/>
    </xf>
    <xf numFmtId="0" fontId="72" fillId="6" borderId="11" xfId="2" applyFont="1" applyFill="1" applyBorder="1" applyAlignment="1">
      <alignment horizontal="center"/>
    </xf>
    <xf numFmtId="1" fontId="24" fillId="0" borderId="0" xfId="0" applyNumberFormat="1" applyFont="1" applyAlignment="1">
      <alignment horizontal="left"/>
    </xf>
    <xf numFmtId="0" fontId="1" fillId="6" borderId="4" xfId="2" applyFill="1" applyBorder="1" applyAlignment="1">
      <alignment horizontal="center"/>
    </xf>
    <xf numFmtId="0" fontId="1" fillId="6" borderId="0" xfId="2" applyFill="1" applyAlignment="1">
      <alignment horizontal="center"/>
    </xf>
    <xf numFmtId="0" fontId="1" fillId="6" borderId="11" xfId="2" applyFill="1" applyBorder="1" applyAlignment="1">
      <alignment horizontal="center"/>
    </xf>
    <xf numFmtId="1" fontId="24" fillId="0" borderId="0" xfId="0" applyNumberFormat="1" applyFont="1" applyAlignment="1">
      <alignment horizontal="center"/>
    </xf>
    <xf numFmtId="0" fontId="73" fillId="6" borderId="4" xfId="2" applyFont="1" applyFill="1" applyBorder="1" applyAlignment="1">
      <alignment horizontal="center"/>
    </xf>
    <xf numFmtId="0" fontId="73" fillId="6" borderId="0" xfId="2" applyFont="1" applyFill="1" applyAlignment="1">
      <alignment horizontal="center"/>
    </xf>
    <xf numFmtId="0" fontId="73" fillId="6" borderId="11" xfId="2" applyFont="1" applyFill="1" applyBorder="1" applyAlignment="1">
      <alignment horizontal="center"/>
    </xf>
    <xf numFmtId="0" fontId="1" fillId="6" borderId="6" xfId="2" applyFill="1" applyBorder="1" applyAlignment="1">
      <alignment horizontal="center"/>
    </xf>
    <xf numFmtId="0" fontId="1" fillId="6" borderId="7" xfId="2" applyFill="1" applyBorder="1" applyAlignment="1">
      <alignment horizontal="center"/>
    </xf>
    <xf numFmtId="0" fontId="1" fillId="6" borderId="8" xfId="2" applyFill="1" applyBorder="1" applyAlignment="1">
      <alignment horizontal="center"/>
    </xf>
    <xf numFmtId="0" fontId="74" fillId="9" borderId="0" xfId="2" applyFont="1" applyFill="1"/>
    <xf numFmtId="0" fontId="75" fillId="9" borderId="0" xfId="2" applyFont="1" applyFill="1"/>
    <xf numFmtId="0" fontId="12" fillId="9" borderId="0" xfId="2" applyFont="1" applyFill="1"/>
    <xf numFmtId="1" fontId="16" fillId="9" borderId="0" xfId="2" applyNumberFormat="1" applyFont="1" applyFill="1"/>
    <xf numFmtId="10" fontId="5" fillId="0" borderId="0" xfId="0" applyNumberFormat="1" applyFont="1"/>
    <xf numFmtId="164" fontId="5" fillId="0" borderId="0" xfId="0" applyNumberFormat="1" applyFont="1" applyAlignment="1">
      <alignment horizontal="center"/>
    </xf>
    <xf numFmtId="0" fontId="76" fillId="0" borderId="0" xfId="2" applyFont="1"/>
    <xf numFmtId="0" fontId="1" fillId="0" borderId="0" xfId="2"/>
    <xf numFmtId="0" fontId="6" fillId="0" borderId="0" xfId="2" applyFont="1"/>
    <xf numFmtId="2" fontId="77" fillId="0" borderId="0" xfId="2" applyNumberFormat="1" applyFont="1"/>
    <xf numFmtId="0" fontId="24" fillId="0" borderId="0" xfId="2" applyFont="1"/>
    <xf numFmtId="1" fontId="1" fillId="0" borderId="0" xfId="2" applyNumberFormat="1"/>
    <xf numFmtId="1" fontId="10" fillId="0" borderId="0" xfId="2" applyNumberFormat="1" applyFont="1"/>
    <xf numFmtId="0" fontId="24" fillId="0" borderId="0" xfId="2" applyFont="1" applyAlignment="1">
      <alignment horizontal="center" vertical="center"/>
    </xf>
    <xf numFmtId="0" fontId="1" fillId="0" borderId="0" xfId="2" applyAlignment="1">
      <alignment horizontal="center" vertical="center"/>
    </xf>
    <xf numFmtId="1" fontId="62" fillId="0" borderId="0" xfId="2" applyNumberFormat="1" applyFont="1" applyAlignment="1">
      <alignment horizontal="center" vertical="center" wrapText="1"/>
    </xf>
    <xf numFmtId="1" fontId="1" fillId="0" borderId="0" xfId="2" applyNumberFormat="1" applyAlignment="1">
      <alignment horizontal="center" vertical="center"/>
    </xf>
    <xf numFmtId="0" fontId="9" fillId="0" borderId="0" xfId="0" applyFont="1" applyAlignment="1">
      <alignment horizontal="center" shrinkToFit="1"/>
    </xf>
    <xf numFmtId="165" fontId="1" fillId="0" borderId="0" xfId="2" applyNumberFormat="1" applyAlignment="1">
      <alignment horizontal="center"/>
    </xf>
    <xf numFmtId="1" fontId="1" fillId="10" borderId="0" xfId="2" applyNumberFormat="1" applyFill="1"/>
    <xf numFmtId="1" fontId="1" fillId="0" borderId="0" xfId="2" applyNumberFormat="1" applyAlignment="1">
      <alignment horizontal="center"/>
    </xf>
    <xf numFmtId="2" fontId="50" fillId="0" borderId="0" xfId="2" applyNumberFormat="1" applyFont="1" applyAlignment="1">
      <alignment horizontal="center"/>
    </xf>
    <xf numFmtId="0" fontId="50" fillId="0" borderId="0" xfId="0" applyFont="1" applyAlignment="1">
      <alignment horizontal="center"/>
    </xf>
    <xf numFmtId="0" fontId="50" fillId="0" borderId="0" xfId="0" applyFont="1"/>
    <xf numFmtId="1" fontId="50" fillId="0" borderId="0" xfId="0" applyNumberFormat="1" applyFont="1" applyAlignment="1">
      <alignment horizontal="center"/>
    </xf>
    <xf numFmtId="2" fontId="1" fillId="0" borderId="0" xfId="2" applyNumberFormat="1"/>
    <xf numFmtId="2" fontId="1" fillId="0" borderId="0" xfId="2" applyNumberFormat="1" applyAlignment="1">
      <alignment horizontal="center"/>
    </xf>
    <xf numFmtId="1" fontId="75" fillId="0" borderId="15" xfId="2" applyNumberFormat="1" applyFont="1" applyBorder="1"/>
    <xf numFmtId="1" fontId="75" fillId="3" borderId="15" xfId="2" applyNumberFormat="1" applyFont="1" applyFill="1" applyBorder="1" applyAlignment="1">
      <alignment horizontal="center"/>
    </xf>
    <xf numFmtId="0" fontId="9" fillId="0" borderId="7" xfId="0" applyFont="1" applyBorder="1" applyAlignment="1">
      <alignment shrinkToFit="1"/>
    </xf>
    <xf numFmtId="0" fontId="1" fillId="0" borderId="7" xfId="2" applyBorder="1"/>
    <xf numFmtId="1" fontId="75" fillId="0" borderId="7" xfId="2" applyNumberFormat="1" applyFont="1" applyBorder="1"/>
    <xf numFmtId="2" fontId="75" fillId="0" borderId="0" xfId="2" applyNumberFormat="1" applyFont="1"/>
    <xf numFmtId="0" fontId="1" fillId="0" borderId="0" xfId="2" applyAlignment="1">
      <alignment horizontal="center"/>
    </xf>
    <xf numFmtId="17" fontId="1" fillId="0" borderId="0" xfId="2" applyNumberFormat="1" applyAlignment="1">
      <alignment horizontal="center"/>
    </xf>
    <xf numFmtId="0" fontId="24" fillId="0" borderId="0" xfId="2" applyFont="1" applyAlignment="1">
      <alignment horizontal="left" indent="1"/>
    </xf>
    <xf numFmtId="1" fontId="1" fillId="0" borderId="15" xfId="2" applyNumberFormat="1" applyBorder="1"/>
    <xf numFmtId="9" fontId="6" fillId="0" borderId="0" xfId="2" applyNumberFormat="1" applyFont="1" applyAlignment="1">
      <alignment horizontal="center"/>
    </xf>
    <xf numFmtId="0" fontId="78" fillId="0" borderId="0" xfId="2" applyFont="1" applyAlignment="1">
      <alignment horizontal="left"/>
    </xf>
    <xf numFmtId="2" fontId="10" fillId="0" borderId="0" xfId="2" applyNumberFormat="1" applyFont="1" applyAlignment="1">
      <alignment horizontal="center"/>
    </xf>
    <xf numFmtId="1" fontId="10" fillId="0" borderId="0" xfId="0" applyNumberFormat="1" applyFont="1" applyAlignment="1">
      <alignment horizontal="center"/>
    </xf>
    <xf numFmtId="1" fontId="78" fillId="0" borderId="0" xfId="2" applyNumberFormat="1" applyFont="1" applyAlignment="1">
      <alignment horizontal="left"/>
    </xf>
    <xf numFmtId="2" fontId="75" fillId="0" borderId="0" xfId="2" applyNumberFormat="1" applyFont="1" applyAlignment="1">
      <alignment horizontal="center"/>
    </xf>
    <xf numFmtId="1" fontId="78" fillId="0" borderId="0" xfId="2" applyNumberFormat="1" applyFont="1" applyAlignment="1">
      <alignment horizontal="right"/>
    </xf>
    <xf numFmtId="1" fontId="1" fillId="0" borderId="0" xfId="2" applyNumberFormat="1" applyAlignment="1">
      <alignment horizontal="right"/>
    </xf>
    <xf numFmtId="0" fontId="5" fillId="0" borderId="7" xfId="0" applyFont="1" applyBorder="1"/>
    <xf numFmtId="0" fontId="24" fillId="0" borderId="7" xfId="2" applyFont="1" applyBorder="1"/>
    <xf numFmtId="1" fontId="1" fillId="0" borderId="7" xfId="2" applyNumberFormat="1" applyBorder="1" applyAlignment="1">
      <alignment horizontal="right"/>
    </xf>
    <xf numFmtId="1" fontId="1" fillId="0" borderId="7" xfId="2" applyNumberFormat="1" applyBorder="1"/>
    <xf numFmtId="2" fontId="75" fillId="0" borderId="7" xfId="2" applyNumberFormat="1" applyFont="1" applyBorder="1" applyAlignment="1">
      <alignment horizontal="center"/>
    </xf>
    <xf numFmtId="14" fontId="1" fillId="0" borderId="0" xfId="2" applyNumberFormat="1" applyAlignment="1">
      <alignment horizontal="center"/>
    </xf>
    <xf numFmtId="2" fontId="79" fillId="0" borderId="0" xfId="2" applyNumberFormat="1" applyFont="1" applyAlignment="1">
      <alignment horizontal="center"/>
    </xf>
    <xf numFmtId="0" fontId="79" fillId="0" borderId="0" xfId="0" applyFont="1" applyAlignment="1">
      <alignment horizontal="center"/>
    </xf>
    <xf numFmtId="0" fontId="79" fillId="0" borderId="0" xfId="0" applyFont="1"/>
    <xf numFmtId="1" fontId="79" fillId="0" borderId="0" xfId="0" applyNumberFormat="1" applyFont="1" applyAlignment="1">
      <alignment horizontal="center"/>
    </xf>
    <xf numFmtId="17" fontId="1" fillId="0" borderId="0" xfId="2" applyNumberFormat="1"/>
    <xf numFmtId="0" fontId="69" fillId="0" borderId="1" xfId="2" applyFont="1" applyBorder="1"/>
    <xf numFmtId="0" fontId="15" fillId="0" borderId="2" xfId="0" applyFont="1" applyBorder="1"/>
    <xf numFmtId="0" fontId="80" fillId="0" borderId="2" xfId="0" applyFont="1" applyBorder="1" applyAlignment="1">
      <alignment horizontal="center"/>
    </xf>
    <xf numFmtId="0" fontId="80" fillId="0" borderId="3" xfId="0" applyFont="1" applyBorder="1" applyAlignment="1">
      <alignment horizontal="center"/>
    </xf>
    <xf numFmtId="0" fontId="81" fillId="0" borderId="0" xfId="0" applyFont="1"/>
    <xf numFmtId="0" fontId="10" fillId="0" borderId="4" xfId="2" applyFont="1" applyBorder="1"/>
    <xf numFmtId="0" fontId="21" fillId="0" borderId="0" xfId="2" applyFont="1"/>
    <xf numFmtId="0" fontId="82" fillId="0" borderId="4" xfId="0" applyFont="1" applyBorder="1" applyAlignment="1">
      <alignment horizontal="center" vertical="center"/>
    </xf>
    <xf numFmtId="0" fontId="84" fillId="0" borderId="0" xfId="0" applyFont="1" applyAlignment="1">
      <alignment horizontal="left" vertical="top" wrapText="1"/>
    </xf>
    <xf numFmtId="0" fontId="84" fillId="0" borderId="11" xfId="0" applyFont="1" applyBorder="1" applyAlignment="1">
      <alignment horizontal="left" vertical="top" wrapText="1"/>
    </xf>
    <xf numFmtId="0" fontId="17" fillId="0" borderId="0" xfId="2" applyFont="1" applyAlignment="1">
      <alignment horizontal="left" vertical="center"/>
    </xf>
    <xf numFmtId="0" fontId="15" fillId="0" borderId="4" xfId="0" applyFont="1" applyBorder="1" applyAlignment="1">
      <alignment shrinkToFit="1"/>
    </xf>
    <xf numFmtId="0" fontId="85" fillId="0" borderId="0" xfId="0" applyFont="1" applyAlignment="1">
      <alignment horizontal="left" vertical="top" wrapText="1"/>
    </xf>
    <xf numFmtId="0" fontId="85" fillId="0" borderId="11" xfId="0" applyFont="1" applyBorder="1" applyAlignment="1">
      <alignment horizontal="left" vertical="top" wrapText="1"/>
    </xf>
    <xf numFmtId="0" fontId="15" fillId="0" borderId="6" xfId="0" applyFont="1" applyBorder="1" applyAlignment="1">
      <alignment shrinkToFit="1"/>
    </xf>
    <xf numFmtId="0" fontId="84" fillId="0" borderId="7" xfId="0" applyFont="1" applyBorder="1" applyAlignment="1">
      <alignment horizontal="left" vertical="top" wrapText="1"/>
    </xf>
    <xf numFmtId="0" fontId="15" fillId="0" borderId="8" xfId="0" applyFont="1" applyBorder="1"/>
    <xf numFmtId="0" fontId="84" fillId="0" borderId="0" xfId="0" applyFont="1" applyAlignment="1">
      <alignment horizontal="left" vertical="top" wrapText="1"/>
    </xf>
    <xf numFmtId="0" fontId="84" fillId="0" borderId="2" xfId="0" applyFont="1" applyBorder="1" applyAlignment="1">
      <alignment horizontal="left" vertical="top" wrapText="1"/>
    </xf>
    <xf numFmtId="0" fontId="87" fillId="0" borderId="2" xfId="0" applyFont="1" applyBorder="1" applyAlignment="1">
      <alignment horizontal="center"/>
    </xf>
    <xf numFmtId="0" fontId="87" fillId="0" borderId="3" xfId="0" applyFont="1" applyBorder="1" applyAlignment="1">
      <alignment horizontal="center"/>
    </xf>
    <xf numFmtId="0" fontId="5" fillId="0" borderId="0" xfId="2" applyFont="1"/>
    <xf numFmtId="0" fontId="88" fillId="0" borderId="0" xfId="2" applyFont="1"/>
    <xf numFmtId="0" fontId="5" fillId="0" borderId="0" xfId="2" applyFont="1" applyAlignment="1">
      <alignment horizontal="right"/>
    </xf>
    <xf numFmtId="0" fontId="15" fillId="0" borderId="0" xfId="2" applyFont="1"/>
    <xf numFmtId="0" fontId="9" fillId="0" borderId="0" xfId="2" applyFont="1"/>
    <xf numFmtId="0" fontId="9" fillId="0" borderId="6" xfId="0" applyFont="1" applyBorder="1" applyAlignment="1">
      <alignment shrinkToFit="1"/>
    </xf>
    <xf numFmtId="0" fontId="15" fillId="0" borderId="7" xfId="2" applyFont="1" applyBorder="1"/>
    <xf numFmtId="0" fontId="5" fillId="0" borderId="8" xfId="0" applyFont="1" applyBorder="1"/>
    <xf numFmtId="0" fontId="80" fillId="0" borderId="1" xfId="2" applyFont="1" applyBorder="1"/>
    <xf numFmtId="0" fontId="24" fillId="0" borderId="2" xfId="2" applyFont="1" applyBorder="1" applyAlignment="1">
      <alignment horizontal="center"/>
    </xf>
    <xf numFmtId="0" fontId="1" fillId="0" borderId="2" xfId="2" applyBorder="1" applyAlignment="1">
      <alignment horizontal="center"/>
    </xf>
    <xf numFmtId="0" fontId="36" fillId="0" borderId="2" xfId="2" applyFont="1" applyBorder="1"/>
    <xf numFmtId="0" fontId="5" fillId="0" borderId="2" xfId="0" applyFont="1" applyBorder="1"/>
    <xf numFmtId="0" fontId="5" fillId="0" borderId="3" xfId="0" applyFont="1" applyBorder="1"/>
    <xf numFmtId="0" fontId="5" fillId="0" borderId="4" xfId="2" applyFont="1" applyBorder="1" applyAlignment="1">
      <alignment horizontal="left" indent="1"/>
    </xf>
    <xf numFmtId="0" fontId="5" fillId="0" borderId="0" xfId="2" applyFont="1" applyAlignment="1">
      <alignment horizontal="left" indent="1"/>
    </xf>
    <xf numFmtId="0" fontId="1" fillId="0" borderId="0" xfId="2" applyAlignment="1">
      <alignment horizontal="right"/>
    </xf>
    <xf numFmtId="0" fontId="80" fillId="0" borderId="4" xfId="2" applyFont="1" applyBorder="1"/>
    <xf numFmtId="0" fontId="8" fillId="0" borderId="0" xfId="2" applyFont="1" applyAlignment="1">
      <alignment horizontal="left"/>
    </xf>
    <xf numFmtId="0" fontId="1" fillId="0" borderId="0" xfId="2" applyAlignment="1">
      <alignment horizontal="left" indent="1"/>
    </xf>
    <xf numFmtId="0" fontId="80" fillId="0" borderId="6" xfId="2" applyFont="1" applyBorder="1"/>
    <xf numFmtId="0" fontId="89" fillId="0" borderId="7" xfId="2" applyFont="1" applyBorder="1"/>
    <xf numFmtId="0" fontId="1" fillId="0" borderId="7" xfId="2" applyBorder="1" applyAlignment="1">
      <alignment horizontal="right"/>
    </xf>
    <xf numFmtId="0" fontId="16" fillId="0" borderId="0" xfId="2" applyFont="1"/>
  </cellXfs>
  <cellStyles count="3">
    <cellStyle name="Normal" xfId="0" builtinId="0"/>
    <cellStyle name="Normal 2 2" xfId="2" xr:uid="{715497EF-B284-4EE7-A9D8-3BFA8AE0A0BF}"/>
    <cellStyle name="Percent" xfId="1" builtinId="5"/>
  </cellStyles>
  <dxfs count="1">
    <dxf>
      <font>
        <condense val="0"/>
        <extend val="0"/>
        <color indexed="12"/>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ilmb21.indiatimes.com/service/home/~/Final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1.86 "/>
      <sheetName val="Reader"/>
      <sheetName val="Sheet1"/>
    </sheetNames>
    <sheetDataSet>
      <sheetData sheetId="0"/>
      <sheetData sheetId="1"/>
      <sheetData sheetId="2">
        <row r="4">
          <cell r="S4">
            <v>13260</v>
          </cell>
          <cell r="T4">
            <v>37400</v>
          </cell>
        </row>
        <row r="5">
          <cell r="S5">
            <v>13680</v>
          </cell>
          <cell r="T5">
            <v>37400</v>
          </cell>
        </row>
        <row r="6">
          <cell r="S6">
            <v>14100</v>
          </cell>
          <cell r="T6">
            <v>38530</v>
          </cell>
        </row>
        <row r="7">
          <cell r="S7">
            <v>14520</v>
          </cell>
          <cell r="T7">
            <v>38530</v>
          </cell>
        </row>
        <row r="8">
          <cell r="S8">
            <v>14940</v>
          </cell>
          <cell r="T8">
            <v>39690</v>
          </cell>
        </row>
        <row r="9">
          <cell r="S9">
            <v>15360</v>
          </cell>
          <cell r="T9">
            <v>39690</v>
          </cell>
        </row>
        <row r="10">
          <cell r="S10">
            <v>15780</v>
          </cell>
          <cell r="T10">
            <v>40890</v>
          </cell>
        </row>
        <row r="11">
          <cell r="S11">
            <v>16200</v>
          </cell>
          <cell r="T11">
            <v>40890</v>
          </cell>
        </row>
        <row r="12">
          <cell r="S12">
            <v>16400</v>
          </cell>
          <cell r="T12">
            <v>43390</v>
          </cell>
        </row>
        <row r="13">
          <cell r="S13">
            <v>16620</v>
          </cell>
          <cell r="T13">
            <v>42120</v>
          </cell>
        </row>
        <row r="14">
          <cell r="S14">
            <v>16850</v>
          </cell>
          <cell r="T14">
            <v>43390</v>
          </cell>
        </row>
        <row r="15">
          <cell r="S15">
            <v>17040</v>
          </cell>
          <cell r="T15">
            <v>42120</v>
          </cell>
        </row>
        <row r="16">
          <cell r="S16">
            <v>17300</v>
          </cell>
          <cell r="T16">
            <v>44700</v>
          </cell>
        </row>
        <row r="17">
          <cell r="S17">
            <v>17460</v>
          </cell>
          <cell r="T17">
            <v>43390</v>
          </cell>
        </row>
        <row r="18">
          <cell r="S18">
            <v>17750</v>
          </cell>
          <cell r="T18">
            <v>44700</v>
          </cell>
        </row>
        <row r="19">
          <cell r="S19">
            <v>17880</v>
          </cell>
          <cell r="T19">
            <v>43390</v>
          </cell>
        </row>
        <row r="20">
          <cell r="S20">
            <v>18200</v>
          </cell>
          <cell r="T20">
            <v>46050</v>
          </cell>
        </row>
        <row r="21">
          <cell r="S21">
            <v>18300</v>
          </cell>
          <cell r="T21">
            <v>44700</v>
          </cell>
        </row>
        <row r="22">
          <cell r="S22">
            <v>18650</v>
          </cell>
          <cell r="T22">
            <v>46050</v>
          </cell>
        </row>
        <row r="23">
          <cell r="S23">
            <v>18720</v>
          </cell>
          <cell r="T23">
            <v>44700</v>
          </cell>
        </row>
        <row r="24">
          <cell r="S24">
            <v>19100</v>
          </cell>
          <cell r="T24">
            <v>47440</v>
          </cell>
        </row>
        <row r="25">
          <cell r="S25">
            <v>19140</v>
          </cell>
          <cell r="T25">
            <v>46050</v>
          </cell>
        </row>
        <row r="26">
          <cell r="S26">
            <v>19550</v>
          </cell>
          <cell r="T26">
            <v>47440</v>
          </cell>
        </row>
        <row r="27">
          <cell r="S27">
            <v>19560</v>
          </cell>
          <cell r="T27">
            <v>46050</v>
          </cell>
        </row>
        <row r="28">
          <cell r="S28">
            <v>19980</v>
          </cell>
          <cell r="T28">
            <v>47440</v>
          </cell>
        </row>
        <row r="29">
          <cell r="S29">
            <v>20000</v>
          </cell>
          <cell r="T29">
            <v>48870</v>
          </cell>
        </row>
        <row r="30">
          <cell r="S30">
            <v>20450</v>
          </cell>
          <cell r="T30">
            <v>48870</v>
          </cell>
        </row>
        <row r="31">
          <cell r="S31">
            <v>20900</v>
          </cell>
          <cell r="T31">
            <v>50340</v>
          </cell>
        </row>
        <row r="32">
          <cell r="S32">
            <v>21400</v>
          </cell>
          <cell r="T32">
            <v>50340</v>
          </cell>
        </row>
        <row r="33">
          <cell r="S33">
            <v>21900</v>
          </cell>
          <cell r="T33">
            <v>51860</v>
          </cell>
        </row>
        <row r="34">
          <cell r="S34">
            <v>22400</v>
          </cell>
          <cell r="T34">
            <v>51860</v>
          </cell>
        </row>
        <row r="35">
          <cell r="S35">
            <v>22900</v>
          </cell>
          <cell r="T35">
            <v>53420</v>
          </cell>
        </row>
        <row r="36">
          <cell r="S36">
            <v>23400</v>
          </cell>
          <cell r="T36">
            <v>53420</v>
          </cell>
        </row>
        <row r="37">
          <cell r="S37">
            <v>23900</v>
          </cell>
          <cell r="T37">
            <v>55030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0162F-0119-4046-9775-4E5A05127F44}">
  <sheetPr>
    <pageSetUpPr fitToPage="1"/>
  </sheetPr>
  <dimension ref="A1:O194"/>
  <sheetViews>
    <sheetView showZeros="0" tabSelected="1" topLeftCell="A64" zoomScale="120" workbookViewId="0">
      <selection activeCell="H126" sqref="H126"/>
    </sheetView>
  </sheetViews>
  <sheetFormatPr defaultColWidth="9.109375" defaultRowHeight="15" customHeight="1" x14ac:dyDescent="0.25"/>
  <cols>
    <col min="1" max="1" width="4" style="232" customWidth="1"/>
    <col min="2" max="2" width="9.6640625" style="18" customWidth="1"/>
    <col min="3" max="3" width="10.6640625" style="18" customWidth="1"/>
    <col min="4" max="4" width="15.44140625" style="18" customWidth="1"/>
    <col min="5" max="5" width="15.88671875" style="18" customWidth="1"/>
    <col min="6" max="6" width="10.44140625" style="18" customWidth="1"/>
    <col min="7" max="7" width="10.6640625" style="18" customWidth="1"/>
    <col min="8" max="8" width="12.6640625" style="18" customWidth="1"/>
    <col min="9" max="9" width="3.44140625" style="18" customWidth="1"/>
    <col min="10" max="10" width="4.33203125" style="18" customWidth="1"/>
    <col min="11" max="11" width="29.88671875" style="18" customWidth="1"/>
    <col min="12" max="12" width="9.6640625" style="18" customWidth="1"/>
    <col min="13" max="13" width="11" style="18" customWidth="1"/>
    <col min="14" max="14" width="14.44140625" style="18" customWidth="1"/>
    <col min="15" max="15" width="6" style="18" customWidth="1"/>
    <col min="16" max="16384" width="9.109375" style="18"/>
  </cols>
  <sheetData>
    <row r="1" spans="1:15" s="9" customFormat="1" ht="14.25" customHeight="1" x14ac:dyDescent="0.3">
      <c r="A1" s="1" t="s">
        <v>0</v>
      </c>
      <c r="B1" s="2"/>
      <c r="C1" s="2"/>
      <c r="D1" s="3" t="s">
        <v>1</v>
      </c>
      <c r="E1" s="3"/>
      <c r="F1" s="3"/>
      <c r="G1" s="3"/>
      <c r="H1" s="3"/>
      <c r="I1" s="4"/>
      <c r="J1" s="5" t="s">
        <v>2</v>
      </c>
      <c r="K1" s="6"/>
      <c r="L1" s="6"/>
      <c r="M1" s="7" t="s">
        <v>3</v>
      </c>
      <c r="N1" s="8" t="s">
        <v>4</v>
      </c>
    </row>
    <row r="2" spans="1:15" ht="15" customHeight="1" thickBot="1" x14ac:dyDescent="0.3">
      <c r="A2" s="10" t="s">
        <v>5</v>
      </c>
      <c r="B2" s="11"/>
      <c r="C2" s="11"/>
      <c r="D2" s="12" t="s">
        <v>6</v>
      </c>
      <c r="E2" s="13" t="s">
        <v>7</v>
      </c>
      <c r="F2" s="14" t="s">
        <v>8</v>
      </c>
      <c r="G2" s="14"/>
      <c r="H2" s="15">
        <v>26538</v>
      </c>
      <c r="I2" s="16">
        <f>IF(H2&lt;21642,"Sr",0)</f>
        <v>0</v>
      </c>
      <c r="J2" s="7"/>
      <c r="K2" s="17" t="s">
        <v>9</v>
      </c>
      <c r="L2" s="18">
        <v>3000000</v>
      </c>
      <c r="N2" s="19">
        <v>44561</v>
      </c>
    </row>
    <row r="3" spans="1:15" ht="15" customHeight="1" x14ac:dyDescent="0.25">
      <c r="A3" s="20"/>
      <c r="B3" s="21" t="s">
        <v>10</v>
      </c>
      <c r="G3" s="22"/>
      <c r="H3" s="23" t="s">
        <v>11</v>
      </c>
      <c r="I3" s="24"/>
      <c r="K3" s="18" t="s">
        <v>12</v>
      </c>
      <c r="L3" s="18">
        <v>600000</v>
      </c>
      <c r="N3" s="25" t="s">
        <v>13</v>
      </c>
    </row>
    <row r="4" spans="1:15" ht="15" customHeight="1" x14ac:dyDescent="0.25">
      <c r="A4" s="26"/>
      <c r="B4" s="27" t="s">
        <v>14</v>
      </c>
      <c r="C4" s="28" t="s">
        <v>15</v>
      </c>
      <c r="G4" s="29">
        <f>+L10</f>
        <v>3682000</v>
      </c>
      <c r="H4" s="30"/>
      <c r="I4" s="31"/>
      <c r="K4" s="18" t="s">
        <v>16</v>
      </c>
      <c r="L4" s="18">
        <v>18000</v>
      </c>
      <c r="M4" s="32"/>
      <c r="N4" s="33">
        <v>44561</v>
      </c>
    </row>
    <row r="5" spans="1:15" ht="15" customHeight="1" x14ac:dyDescent="0.25">
      <c r="A5" s="26"/>
      <c r="B5" s="27" t="s">
        <v>17</v>
      </c>
      <c r="C5" s="28" t="s">
        <v>18</v>
      </c>
      <c r="G5" s="29">
        <f>+L11+L12</f>
        <v>559200</v>
      </c>
      <c r="H5" s="30"/>
      <c r="I5" s="31"/>
      <c r="J5" s="7"/>
      <c r="K5" s="18" t="s">
        <v>19</v>
      </c>
      <c r="L5" s="18">
        <v>20000</v>
      </c>
      <c r="N5" s="34" t="s">
        <v>20</v>
      </c>
    </row>
    <row r="6" spans="1:15" ht="15" customHeight="1" thickBot="1" x14ac:dyDescent="0.3">
      <c r="A6" s="26"/>
      <c r="B6" s="27" t="s">
        <v>21</v>
      </c>
      <c r="C6" s="28" t="s">
        <v>22</v>
      </c>
      <c r="G6" s="35"/>
      <c r="H6" s="30"/>
      <c r="I6" s="31"/>
      <c r="J6" s="7"/>
      <c r="K6" s="18" t="s">
        <v>23</v>
      </c>
      <c r="L6" s="18">
        <v>20000</v>
      </c>
      <c r="N6" s="36">
        <v>44497</v>
      </c>
    </row>
    <row r="7" spans="1:15" ht="15" customHeight="1" x14ac:dyDescent="0.25">
      <c r="A7" s="26"/>
      <c r="B7" s="21"/>
      <c r="C7" s="28"/>
      <c r="F7" s="37" t="s">
        <v>24</v>
      </c>
      <c r="G7" s="38">
        <f>G4+G5+G6</f>
        <v>4241200</v>
      </c>
      <c r="H7" s="30"/>
      <c r="I7" s="31"/>
      <c r="J7" s="7" t="s">
        <v>25</v>
      </c>
      <c r="K7" s="18" t="s">
        <v>26</v>
      </c>
      <c r="L7" s="18">
        <v>18000</v>
      </c>
      <c r="M7" s="18">
        <v>10000</v>
      </c>
      <c r="N7" s="39" t="s">
        <v>27</v>
      </c>
    </row>
    <row r="8" spans="1:15" ht="15" customHeight="1" x14ac:dyDescent="0.25">
      <c r="A8" s="26"/>
      <c r="B8" s="40" t="s">
        <v>28</v>
      </c>
      <c r="C8" s="28" t="s">
        <v>29</v>
      </c>
      <c r="G8" s="35">
        <f>M10+M11</f>
        <v>24000</v>
      </c>
      <c r="H8" s="30"/>
      <c r="I8" s="31"/>
      <c r="J8" s="7" t="s">
        <v>30</v>
      </c>
      <c r="K8" s="18" t="s">
        <v>31</v>
      </c>
      <c r="L8" s="18">
        <v>3600</v>
      </c>
      <c r="M8" s="18">
        <v>3600</v>
      </c>
      <c r="N8" s="41" t="s">
        <v>32</v>
      </c>
    </row>
    <row r="9" spans="1:15" ht="15" customHeight="1" thickBot="1" x14ac:dyDescent="0.3">
      <c r="A9" s="26"/>
      <c r="B9" s="21"/>
      <c r="F9" s="37" t="s">
        <v>33</v>
      </c>
      <c r="G9" s="42">
        <f>G7-G8</f>
        <v>4217200</v>
      </c>
      <c r="H9" s="30"/>
      <c r="I9" s="31"/>
      <c r="J9" s="7" t="s">
        <v>30</v>
      </c>
      <c r="K9" s="18" t="s">
        <v>34</v>
      </c>
      <c r="L9" s="18">
        <v>2400</v>
      </c>
      <c r="M9" s="18">
        <v>2400</v>
      </c>
      <c r="N9" s="43">
        <v>5000</v>
      </c>
    </row>
    <row r="10" spans="1:15" ht="15" customHeight="1" thickBot="1" x14ac:dyDescent="0.3">
      <c r="A10" s="26"/>
      <c r="B10" s="27" t="s">
        <v>35</v>
      </c>
      <c r="C10" s="44" t="s">
        <v>36</v>
      </c>
      <c r="G10" s="35">
        <v>50000</v>
      </c>
      <c r="H10" s="30">
        <f>G9-G10</f>
        <v>4167200</v>
      </c>
      <c r="I10" s="31"/>
      <c r="J10" s="7"/>
      <c r="L10" s="45">
        <f>SUM(L2:L9)</f>
        <v>3682000</v>
      </c>
      <c r="M10" s="45">
        <f>SUM(M2:M9)</f>
        <v>16000</v>
      </c>
    </row>
    <row r="11" spans="1:15" ht="18.75" customHeight="1" thickTop="1" x14ac:dyDescent="0.25">
      <c r="A11" s="26"/>
      <c r="B11" s="21" t="s">
        <v>37</v>
      </c>
      <c r="E11" s="46"/>
      <c r="G11" s="22"/>
      <c r="H11" s="30"/>
      <c r="I11" s="31"/>
      <c r="J11" s="7" t="s">
        <v>38</v>
      </c>
      <c r="K11" s="47" t="s">
        <v>39</v>
      </c>
      <c r="L11" s="48">
        <v>12000</v>
      </c>
      <c r="M11" s="48">
        <v>8000</v>
      </c>
    </row>
    <row r="12" spans="1:15" ht="12.75" customHeight="1" x14ac:dyDescent="0.25">
      <c r="A12" s="26"/>
      <c r="B12" s="49" t="s">
        <v>40</v>
      </c>
      <c r="C12" s="50" t="s">
        <v>41</v>
      </c>
      <c r="D12" s="28"/>
      <c r="E12" s="51"/>
      <c r="F12" s="7"/>
      <c r="G12" s="52">
        <f>+L13</f>
        <v>150000</v>
      </c>
      <c r="H12" s="53"/>
      <c r="I12" s="31"/>
      <c r="K12" s="48" t="s">
        <v>42</v>
      </c>
      <c r="L12" s="48">
        <v>547200</v>
      </c>
      <c r="M12" s="48"/>
    </row>
    <row r="13" spans="1:15" ht="15" customHeight="1" x14ac:dyDescent="0.25">
      <c r="A13" s="26"/>
      <c r="B13" s="27" t="s">
        <v>43</v>
      </c>
      <c r="C13" s="44" t="s">
        <v>44</v>
      </c>
      <c r="D13" s="28"/>
      <c r="E13" s="51"/>
      <c r="F13" s="7"/>
      <c r="G13" s="7"/>
      <c r="H13" s="53"/>
      <c r="I13" s="31"/>
      <c r="K13" s="54" t="s">
        <v>45</v>
      </c>
      <c r="L13" s="55">
        <v>150000</v>
      </c>
      <c r="M13" s="55"/>
    </row>
    <row r="14" spans="1:15" ht="15" customHeight="1" x14ac:dyDescent="0.25">
      <c r="A14" s="26"/>
      <c r="C14" s="50"/>
      <c r="D14" s="28" t="s">
        <v>46</v>
      </c>
      <c r="F14" s="56">
        <f>G12*0.3</f>
        <v>45000</v>
      </c>
      <c r="G14" s="57"/>
      <c r="H14" s="53"/>
      <c r="I14" s="31"/>
      <c r="J14" s="58"/>
      <c r="K14" s="54" t="s">
        <v>47</v>
      </c>
      <c r="L14" s="55">
        <v>27000</v>
      </c>
      <c r="M14" s="55"/>
    </row>
    <row r="15" spans="1:15" ht="15" customHeight="1" x14ac:dyDescent="0.25">
      <c r="A15" s="26"/>
      <c r="C15" s="44"/>
      <c r="D15" s="44" t="s">
        <v>48</v>
      </c>
      <c r="F15" s="59">
        <v>45000</v>
      </c>
      <c r="G15" s="60">
        <f>F14+F15</f>
        <v>90000</v>
      </c>
      <c r="H15" s="53">
        <f>G12-G15</f>
        <v>60000</v>
      </c>
      <c r="I15" s="31"/>
      <c r="K15" s="54" t="s">
        <v>49</v>
      </c>
      <c r="L15" s="55">
        <v>4000</v>
      </c>
      <c r="M15" s="55"/>
    </row>
    <row r="16" spans="1:15" ht="15" customHeight="1" x14ac:dyDescent="0.25">
      <c r="A16" s="26"/>
      <c r="B16" s="21" t="s">
        <v>50</v>
      </c>
      <c r="C16" s="61"/>
      <c r="E16" s="62" t="s">
        <v>51</v>
      </c>
      <c r="H16" s="53"/>
      <c r="I16" s="31"/>
      <c r="K16" s="54" t="s">
        <v>52</v>
      </c>
      <c r="L16" s="55"/>
      <c r="M16" s="55">
        <v>45000</v>
      </c>
      <c r="N16" s="44"/>
      <c r="O16" s="44"/>
    </row>
    <row r="17" spans="1:15" ht="15" customHeight="1" thickBot="1" x14ac:dyDescent="0.3">
      <c r="A17" s="26"/>
      <c r="H17" s="53"/>
      <c r="I17" s="31"/>
      <c r="K17" s="18" t="s">
        <v>53</v>
      </c>
      <c r="L17" s="63">
        <v>2000500</v>
      </c>
      <c r="M17" s="7" t="s">
        <v>54</v>
      </c>
      <c r="N17" s="64" t="s">
        <v>55</v>
      </c>
      <c r="O17" s="64"/>
    </row>
    <row r="18" spans="1:15" ht="15" customHeight="1" x14ac:dyDescent="0.25">
      <c r="A18" s="26" t="s">
        <v>56</v>
      </c>
      <c r="B18" s="65" t="s">
        <v>57</v>
      </c>
      <c r="C18" s="18" t="s">
        <v>58</v>
      </c>
      <c r="F18" s="18">
        <f>+L17</f>
        <v>2000500</v>
      </c>
      <c r="H18" s="53"/>
      <c r="I18" s="31"/>
      <c r="K18" s="18" t="s">
        <v>59</v>
      </c>
      <c r="L18" s="66">
        <v>9500</v>
      </c>
      <c r="N18" s="67" t="s">
        <v>60</v>
      </c>
      <c r="O18" s="68" t="s">
        <v>61</v>
      </c>
    </row>
    <row r="19" spans="1:15" ht="15" customHeight="1" x14ac:dyDescent="0.25">
      <c r="A19" s="26"/>
      <c r="B19" s="65" t="s">
        <v>62</v>
      </c>
      <c r="C19" s="69" t="s">
        <v>63</v>
      </c>
      <c r="E19" s="70"/>
      <c r="F19" s="18">
        <f>+L18*-1</f>
        <v>-9500</v>
      </c>
      <c r="H19" s="53"/>
      <c r="I19" s="31"/>
      <c r="K19" s="18" t="s">
        <v>64</v>
      </c>
      <c r="L19" s="18">
        <v>400000</v>
      </c>
      <c r="M19" s="7" t="s">
        <v>65</v>
      </c>
      <c r="N19" s="71">
        <f>F18+F22</f>
        <v>11000500</v>
      </c>
      <c r="O19" s="72"/>
    </row>
    <row r="20" spans="1:15" ht="15" customHeight="1" x14ac:dyDescent="0.25">
      <c r="A20" s="26"/>
      <c r="B20" s="73"/>
      <c r="C20" s="40" t="s">
        <v>66</v>
      </c>
      <c r="E20" s="74" t="s">
        <v>67</v>
      </c>
      <c r="F20" s="75">
        <f>ROUND(L19*301/264,0)*-1</f>
        <v>-456061</v>
      </c>
      <c r="G20" s="18">
        <f>F18+F19+F20</f>
        <v>1534939</v>
      </c>
      <c r="H20" s="53"/>
      <c r="I20" s="31"/>
      <c r="M20" s="76"/>
      <c r="N20" s="77" t="s">
        <v>68</v>
      </c>
      <c r="O20" s="72" t="s">
        <v>69</v>
      </c>
    </row>
    <row r="21" spans="1:15" ht="15" customHeight="1" x14ac:dyDescent="0.25">
      <c r="A21" s="26"/>
      <c r="B21" s="78"/>
      <c r="E21" s="44"/>
      <c r="H21" s="53"/>
      <c r="I21" s="31"/>
      <c r="J21" s="7"/>
      <c r="K21" s="18" t="s">
        <v>70</v>
      </c>
      <c r="L21" s="63">
        <v>9000000</v>
      </c>
      <c r="M21" s="7" t="s">
        <v>54</v>
      </c>
      <c r="N21" s="79">
        <f>(F20+F23)</f>
        <v>-1192202</v>
      </c>
      <c r="O21" s="72"/>
    </row>
    <row r="22" spans="1:15" ht="15" customHeight="1" x14ac:dyDescent="0.25">
      <c r="A22" s="26" t="s">
        <v>71</v>
      </c>
      <c r="B22" s="65" t="s">
        <v>72</v>
      </c>
      <c r="C22" s="18" t="s">
        <v>73</v>
      </c>
      <c r="F22" s="18">
        <f>+L21</f>
        <v>9000000</v>
      </c>
      <c r="H22" s="53"/>
      <c r="I22" s="31"/>
      <c r="J22" s="7"/>
      <c r="K22" s="18" t="s">
        <v>74</v>
      </c>
      <c r="L22" s="18">
        <v>450000</v>
      </c>
      <c r="M22" s="7" t="s">
        <v>75</v>
      </c>
      <c r="N22" s="77" t="s">
        <v>76</v>
      </c>
      <c r="O22" s="72" t="s">
        <v>77</v>
      </c>
    </row>
    <row r="23" spans="1:15" ht="15" customHeight="1" x14ac:dyDescent="0.25">
      <c r="A23" s="26"/>
      <c r="B23" s="65" t="s">
        <v>62</v>
      </c>
      <c r="C23" s="80" t="s">
        <v>78</v>
      </c>
      <c r="E23" s="81" t="s">
        <v>79</v>
      </c>
      <c r="F23" s="75">
        <f>ROUND(L22*301/184,0)*-1</f>
        <v>-736141</v>
      </c>
      <c r="G23" s="18">
        <f>F22+F23</f>
        <v>8263859</v>
      </c>
      <c r="H23" s="53"/>
      <c r="I23" s="31"/>
      <c r="J23" s="7"/>
      <c r="K23" s="18" t="s">
        <v>80</v>
      </c>
      <c r="L23" s="18">
        <v>1050000</v>
      </c>
      <c r="N23" s="82">
        <f>F19</f>
        <v>-9500</v>
      </c>
      <c r="O23" s="72"/>
    </row>
    <row r="24" spans="1:15" ht="15" customHeight="1" thickBot="1" x14ac:dyDescent="0.3">
      <c r="A24" s="26"/>
      <c r="B24" s="44"/>
      <c r="C24" s="40" t="s">
        <v>81</v>
      </c>
      <c r="F24" s="18" t="s">
        <v>82</v>
      </c>
      <c r="H24" s="53"/>
      <c r="I24" s="31"/>
      <c r="J24" s="7"/>
      <c r="N24" s="83">
        <f>N19+N21+N23</f>
        <v>9798798</v>
      </c>
      <c r="O24" s="84" t="s">
        <v>83</v>
      </c>
    </row>
    <row r="25" spans="1:15" ht="15" customHeight="1" x14ac:dyDescent="0.25">
      <c r="A25" s="26"/>
      <c r="B25" s="44"/>
      <c r="C25" s="40"/>
      <c r="F25" s="85"/>
      <c r="H25" s="53"/>
      <c r="I25" s="31"/>
      <c r="J25" s="86"/>
      <c r="K25" s="87" t="s">
        <v>84</v>
      </c>
      <c r="L25" s="87"/>
      <c r="M25" s="87"/>
      <c r="N25" s="88"/>
      <c r="O25" s="88"/>
    </row>
    <row r="26" spans="1:15" ht="15" customHeight="1" x14ac:dyDescent="0.25">
      <c r="A26" s="89" t="s">
        <v>85</v>
      </c>
      <c r="B26" s="89"/>
      <c r="C26" s="89"/>
      <c r="D26" s="89"/>
      <c r="E26" s="89"/>
      <c r="F26" s="89"/>
      <c r="H26" s="53"/>
      <c r="I26" s="31"/>
      <c r="J26" s="90" t="s">
        <v>86</v>
      </c>
      <c r="K26" s="91" t="s">
        <v>87</v>
      </c>
      <c r="L26" s="92">
        <v>1870000</v>
      </c>
      <c r="M26" s="93" t="s">
        <v>88</v>
      </c>
      <c r="N26" s="94"/>
    </row>
    <row r="27" spans="1:15" ht="15" customHeight="1" x14ac:dyDescent="0.25">
      <c r="A27" s="95" t="s">
        <v>89</v>
      </c>
      <c r="B27" s="96" t="s">
        <v>90</v>
      </c>
      <c r="C27" s="97" t="s">
        <v>91</v>
      </c>
      <c r="D27" s="97"/>
      <c r="E27" s="98" t="s">
        <v>92</v>
      </c>
      <c r="F27" s="99">
        <f>+L26</f>
        <v>1870000</v>
      </c>
      <c r="H27" s="53"/>
      <c r="I27" s="31"/>
      <c r="J27" s="100"/>
      <c r="K27" s="92" t="s">
        <v>93</v>
      </c>
      <c r="L27" s="92">
        <v>1215000</v>
      </c>
      <c r="M27" s="93" t="s">
        <v>94</v>
      </c>
      <c r="N27" s="94"/>
    </row>
    <row r="28" spans="1:15" ht="15" customHeight="1" thickBot="1" x14ac:dyDescent="0.3">
      <c r="A28" s="101"/>
      <c r="B28" s="102" t="s">
        <v>95</v>
      </c>
      <c r="C28" s="103" t="s">
        <v>96</v>
      </c>
      <c r="D28" s="97"/>
      <c r="E28" s="98" t="s">
        <v>97</v>
      </c>
      <c r="F28" s="104">
        <f>+L28*-1</f>
        <v>-1575000</v>
      </c>
      <c r="G28" s="97">
        <f>F27+F28</f>
        <v>295000</v>
      </c>
      <c r="H28" s="53"/>
      <c r="I28" s="31"/>
      <c r="J28" s="100"/>
      <c r="K28" s="92" t="s">
        <v>98</v>
      </c>
      <c r="L28" s="92">
        <v>1575000</v>
      </c>
      <c r="N28" s="94"/>
    </row>
    <row r="29" spans="1:15" ht="15" customHeight="1" thickBot="1" x14ac:dyDescent="0.3">
      <c r="A29" s="26"/>
      <c r="B29" s="105"/>
      <c r="C29" s="106"/>
      <c r="D29" s="107"/>
      <c r="E29" s="108"/>
      <c r="F29" s="109"/>
      <c r="G29" s="107"/>
      <c r="H29" s="53"/>
      <c r="I29" s="31"/>
      <c r="J29" s="100"/>
      <c r="K29" s="110" t="s">
        <v>99</v>
      </c>
      <c r="L29" s="111"/>
      <c r="M29" s="111"/>
      <c r="N29" s="112">
        <f>G28+G31</f>
        <v>785000</v>
      </c>
      <c r="O29" s="113" t="s">
        <v>100</v>
      </c>
    </row>
    <row r="30" spans="1:15" ht="15" customHeight="1" x14ac:dyDescent="0.25">
      <c r="A30" s="114" t="s">
        <v>101</v>
      </c>
      <c r="B30" s="115" t="s">
        <v>90</v>
      </c>
      <c r="C30" s="116" t="s">
        <v>102</v>
      </c>
      <c r="D30" s="116"/>
      <c r="E30" s="117" t="s">
        <v>103</v>
      </c>
      <c r="F30" s="116">
        <f>+L30</f>
        <v>3800000</v>
      </c>
      <c r="G30" s="107"/>
      <c r="H30" s="53"/>
      <c r="I30" s="31"/>
      <c r="J30" s="118" t="s">
        <v>86</v>
      </c>
      <c r="K30" s="119" t="s">
        <v>104</v>
      </c>
      <c r="L30" s="66">
        <v>3800000</v>
      </c>
      <c r="M30" s="93" t="s">
        <v>105</v>
      </c>
    </row>
    <row r="31" spans="1:15" ht="15" customHeight="1" x14ac:dyDescent="0.25">
      <c r="A31" s="120"/>
      <c r="B31" s="121" t="s">
        <v>95</v>
      </c>
      <c r="C31" s="122" t="s">
        <v>96</v>
      </c>
      <c r="D31" s="116"/>
      <c r="E31" s="117" t="s">
        <v>106</v>
      </c>
      <c r="F31" s="123">
        <f>+L32</f>
        <v>3310000</v>
      </c>
      <c r="G31" s="124">
        <f>F30-F31</f>
        <v>490000</v>
      </c>
      <c r="H31" s="53"/>
      <c r="I31" s="31"/>
      <c r="J31" s="66"/>
      <c r="K31" s="119" t="s">
        <v>107</v>
      </c>
      <c r="L31" s="66">
        <v>217500</v>
      </c>
      <c r="M31" s="93" t="s">
        <v>108</v>
      </c>
    </row>
    <row r="32" spans="1:15" ht="15" customHeight="1" x14ac:dyDescent="0.25">
      <c r="A32" s="26"/>
      <c r="C32" s="80"/>
      <c r="H32" s="53"/>
      <c r="I32" s="31"/>
      <c r="J32" s="66"/>
      <c r="K32" s="119" t="s">
        <v>98</v>
      </c>
      <c r="L32" s="66">
        <v>3310000</v>
      </c>
    </row>
    <row r="33" spans="1:14" ht="15" customHeight="1" x14ac:dyDescent="0.25">
      <c r="A33" s="26"/>
      <c r="H33" s="53">
        <f>G20+G23+G28+G31</f>
        <v>10583798</v>
      </c>
      <c r="I33" s="31"/>
      <c r="J33" s="66"/>
      <c r="K33" s="125"/>
      <c r="L33" s="66"/>
      <c r="M33" s="126"/>
      <c r="N33" s="94"/>
    </row>
    <row r="34" spans="1:14" ht="15" customHeight="1" x14ac:dyDescent="0.25">
      <c r="A34" s="26"/>
      <c r="B34" s="21" t="s">
        <v>109</v>
      </c>
      <c r="H34" s="53"/>
      <c r="I34" s="31"/>
    </row>
    <row r="35" spans="1:14" ht="15" customHeight="1" x14ac:dyDescent="0.25">
      <c r="A35" s="26"/>
      <c r="B35" s="127"/>
      <c r="C35" s="128" t="s">
        <v>110</v>
      </c>
      <c r="D35" s="27"/>
      <c r="E35" s="27"/>
      <c r="F35" s="44"/>
      <c r="G35" s="18">
        <f>+L35</f>
        <v>24900</v>
      </c>
      <c r="H35" s="53"/>
      <c r="I35" s="31"/>
      <c r="K35" s="18" t="s">
        <v>110</v>
      </c>
      <c r="L35" s="18">
        <v>24900</v>
      </c>
    </row>
    <row r="36" spans="1:14" ht="15" customHeight="1" x14ac:dyDescent="0.25">
      <c r="A36" s="26"/>
      <c r="B36" s="127"/>
      <c r="C36" s="107" t="s">
        <v>111</v>
      </c>
      <c r="D36" s="27"/>
      <c r="E36" s="27"/>
      <c r="F36" s="44"/>
      <c r="G36" s="17">
        <f>82000+50000</f>
        <v>132000</v>
      </c>
      <c r="H36" s="53"/>
      <c r="I36" s="31"/>
      <c r="K36" s="18" t="s">
        <v>112</v>
      </c>
      <c r="M36" s="129"/>
    </row>
    <row r="37" spans="1:14" ht="15" customHeight="1" x14ac:dyDescent="0.25">
      <c r="A37" s="26"/>
      <c r="B37" s="127" t="s">
        <v>113</v>
      </c>
      <c r="C37" s="107" t="s">
        <v>114</v>
      </c>
      <c r="D37" s="27"/>
      <c r="E37" s="27"/>
      <c r="F37" s="44"/>
      <c r="G37" s="17">
        <f>74000-1500</f>
        <v>72500</v>
      </c>
      <c r="H37" s="53"/>
      <c r="I37" s="31"/>
      <c r="K37" s="18" t="s">
        <v>115</v>
      </c>
      <c r="L37" s="18">
        <v>74000</v>
      </c>
      <c r="M37" s="129"/>
    </row>
    <row r="38" spans="1:14" ht="15" customHeight="1" x14ac:dyDescent="0.25">
      <c r="A38" s="26"/>
      <c r="B38" s="127"/>
      <c r="C38" s="18" t="s">
        <v>116</v>
      </c>
      <c r="D38" s="27"/>
      <c r="E38" s="27"/>
      <c r="F38" s="44"/>
      <c r="G38" s="17">
        <f>+L38</f>
        <v>120000</v>
      </c>
      <c r="H38" s="53"/>
      <c r="I38" s="31"/>
      <c r="K38" s="18" t="s">
        <v>117</v>
      </c>
      <c r="L38" s="18">
        <v>120000</v>
      </c>
      <c r="M38" s="130">
        <v>43997</v>
      </c>
    </row>
    <row r="39" spans="1:14" ht="15" customHeight="1" x14ac:dyDescent="0.25">
      <c r="A39" s="26"/>
      <c r="B39" s="127"/>
      <c r="C39" s="18" t="s">
        <v>118</v>
      </c>
      <c r="G39" s="131">
        <f>+L39</f>
        <v>224800</v>
      </c>
      <c r="H39" s="53">
        <f>SUM(G35:G39)</f>
        <v>574200</v>
      </c>
      <c r="I39" s="31"/>
      <c r="K39" s="51" t="s">
        <v>118</v>
      </c>
      <c r="L39" s="18">
        <v>224800</v>
      </c>
      <c r="M39" s="130">
        <v>43997</v>
      </c>
    </row>
    <row r="40" spans="1:14" ht="15" customHeight="1" x14ac:dyDescent="0.25">
      <c r="A40" s="26"/>
      <c r="B40" s="127"/>
      <c r="G40" s="17"/>
      <c r="H40" s="53"/>
      <c r="I40" s="132"/>
    </row>
    <row r="41" spans="1:14" ht="15" customHeight="1" x14ac:dyDescent="0.25">
      <c r="A41" s="26"/>
      <c r="B41" s="21" t="s">
        <v>119</v>
      </c>
      <c r="E41" s="7"/>
      <c r="F41" s="7"/>
      <c r="G41" s="30"/>
      <c r="H41" s="133">
        <f>SUM(H4:H40)</f>
        <v>15385198</v>
      </c>
      <c r="I41" s="134"/>
    </row>
    <row r="42" spans="1:14" ht="15" customHeight="1" x14ac:dyDescent="0.25">
      <c r="A42" s="26"/>
      <c r="B42" s="135" t="s">
        <v>120</v>
      </c>
      <c r="H42" s="53"/>
      <c r="I42" s="31"/>
    </row>
    <row r="43" spans="1:14" ht="15" customHeight="1" x14ac:dyDescent="0.25">
      <c r="A43" s="26"/>
      <c r="B43" s="136"/>
      <c r="C43" s="46" t="s">
        <v>121</v>
      </c>
      <c r="D43" s="18" t="str">
        <f>+K43</f>
        <v>Recognised Prov Fund</v>
      </c>
      <c r="F43" s="44">
        <f>+L43</f>
        <v>80000</v>
      </c>
      <c r="H43" s="53"/>
      <c r="I43" s="31"/>
      <c r="K43" s="137" t="s">
        <v>122</v>
      </c>
      <c r="L43" s="137">
        <v>80000</v>
      </c>
    </row>
    <row r="44" spans="1:14" ht="15" customHeight="1" x14ac:dyDescent="0.25">
      <c r="A44" s="26"/>
      <c r="B44" s="136"/>
      <c r="C44" s="46"/>
      <c r="D44" s="18" t="str">
        <f>+K44</f>
        <v>Public Prov Fund</v>
      </c>
      <c r="F44" s="44">
        <f>+L44</f>
        <v>22000</v>
      </c>
      <c r="H44" s="53"/>
      <c r="I44" s="31"/>
      <c r="K44" s="137" t="s">
        <v>123</v>
      </c>
      <c r="L44" s="137">
        <v>22000</v>
      </c>
    </row>
    <row r="45" spans="1:14" ht="15" customHeight="1" x14ac:dyDescent="0.25">
      <c r="A45" s="26"/>
      <c r="B45" s="136"/>
      <c r="D45" s="137" t="s">
        <v>124</v>
      </c>
      <c r="F45" s="59">
        <f>+L45</f>
        <v>4000</v>
      </c>
      <c r="G45" s="138">
        <f>F43+F44+F45</f>
        <v>106000</v>
      </c>
      <c r="H45" s="53"/>
      <c r="I45" s="31"/>
      <c r="K45" s="137" t="s">
        <v>124</v>
      </c>
      <c r="L45" s="137">
        <v>4000</v>
      </c>
    </row>
    <row r="46" spans="1:14" ht="15" customHeight="1" x14ac:dyDescent="0.25">
      <c r="A46" s="26"/>
      <c r="B46" s="136"/>
      <c r="C46" s="46" t="s">
        <v>125</v>
      </c>
      <c r="F46" s="44"/>
      <c r="G46" s="138">
        <f>L46-G47</f>
        <v>10000</v>
      </c>
      <c r="H46" s="53"/>
      <c r="I46" s="31"/>
      <c r="K46" s="137" t="s">
        <v>126</v>
      </c>
      <c r="L46" s="137">
        <v>60000</v>
      </c>
    </row>
    <row r="47" spans="1:14" ht="15" customHeight="1" x14ac:dyDescent="0.25">
      <c r="A47" s="26"/>
      <c r="B47" s="136"/>
      <c r="C47" s="46" t="s">
        <v>127</v>
      </c>
      <c r="F47" s="139"/>
      <c r="G47" s="138">
        <v>50000</v>
      </c>
      <c r="H47" s="53"/>
      <c r="I47" s="31"/>
      <c r="K47" s="137" t="s">
        <v>128</v>
      </c>
      <c r="L47" s="18">
        <v>30000</v>
      </c>
      <c r="M47" s="85" t="s">
        <v>129</v>
      </c>
    </row>
    <row r="48" spans="1:14" ht="15" customHeight="1" x14ac:dyDescent="0.25">
      <c r="A48" s="26"/>
      <c r="B48" s="136"/>
      <c r="C48" s="46" t="s">
        <v>130</v>
      </c>
      <c r="D48" s="44" t="s">
        <v>131</v>
      </c>
      <c r="F48" s="139"/>
      <c r="G48" s="52">
        <v>25000</v>
      </c>
      <c r="H48" s="53"/>
      <c r="I48" s="31"/>
      <c r="K48" s="137" t="s">
        <v>132</v>
      </c>
      <c r="L48" s="18">
        <v>20000</v>
      </c>
      <c r="M48" s="18" t="s">
        <v>133</v>
      </c>
    </row>
    <row r="49" spans="1:14" ht="15" customHeight="1" x14ac:dyDescent="0.25">
      <c r="A49" s="26"/>
      <c r="B49" s="136"/>
      <c r="C49" s="46" t="s">
        <v>134</v>
      </c>
      <c r="F49" s="139"/>
      <c r="G49" s="52">
        <v>87000</v>
      </c>
      <c r="H49" s="53"/>
      <c r="I49" s="31"/>
      <c r="K49" s="18" t="s">
        <v>135</v>
      </c>
      <c r="L49" s="18">
        <v>87000</v>
      </c>
    </row>
    <row r="50" spans="1:14" ht="15" customHeight="1" x14ac:dyDescent="0.25">
      <c r="A50" s="26"/>
      <c r="C50" s="46" t="s">
        <v>136</v>
      </c>
      <c r="D50" s="44" t="s">
        <v>137</v>
      </c>
      <c r="E50" s="7"/>
      <c r="F50" s="7"/>
      <c r="G50" s="60">
        <v>10000</v>
      </c>
      <c r="H50" s="53">
        <f>SUM(G45:G50)</f>
        <v>288000</v>
      </c>
      <c r="I50" s="31"/>
      <c r="K50" s="140"/>
    </row>
    <row r="51" spans="1:14" ht="15" customHeight="1" thickBot="1" x14ac:dyDescent="0.3">
      <c r="A51" s="26"/>
      <c r="B51" s="141" t="s">
        <v>138</v>
      </c>
      <c r="E51" s="142">
        <f>IF((H41-H50)&lt;0,0,(H41-H50))</f>
        <v>15097198</v>
      </c>
      <c r="F51" s="143" t="s">
        <v>139</v>
      </c>
      <c r="G51" s="144"/>
      <c r="H51" s="145">
        <f>ROUND((E51/10),0)*10-1</f>
        <v>15097199</v>
      </c>
      <c r="I51" s="146"/>
      <c r="K51" s="139" t="s">
        <v>140</v>
      </c>
    </row>
    <row r="52" spans="1:14" ht="15" customHeight="1" thickTop="1" x14ac:dyDescent="0.25">
      <c r="A52" s="26"/>
      <c r="B52" s="139" t="s">
        <v>141</v>
      </c>
      <c r="E52" s="147" t="s">
        <v>142</v>
      </c>
      <c r="F52" s="148" t="s">
        <v>143</v>
      </c>
      <c r="G52" s="147" t="s">
        <v>144</v>
      </c>
      <c r="H52" s="149"/>
      <c r="I52" s="150"/>
      <c r="K52" s="93" t="s">
        <v>145</v>
      </c>
      <c r="L52" s="151">
        <v>0.05</v>
      </c>
      <c r="M52" s="18">
        <f>250000*5%</f>
        <v>12500</v>
      </c>
    </row>
    <row r="53" spans="1:14" ht="15" customHeight="1" x14ac:dyDescent="0.25">
      <c r="A53" s="26"/>
      <c r="B53" s="152">
        <f>H10+H15+H39-H50</f>
        <v>4513400</v>
      </c>
      <c r="C53" s="44" t="s">
        <v>146</v>
      </c>
      <c r="E53" s="17">
        <f>H51-E55-E54</f>
        <v>4513401</v>
      </c>
      <c r="F53" s="153"/>
      <c r="G53" s="18">
        <f>IF(+I2="Sr",ROUND(IF(E53&gt;1000000,(((E53-1000000)*0.3)+110000),IF(E53&gt;500000,(((E53-500000)*0.2)+10000),IF(E53&gt;300000,((E53-300000)*0.05),0))),0),ROUND(IF(E53&gt;1000000,(((E53-1000000)*0.3)+112500),IF(E53&gt;500000,(((E53-500000)*0.2)+12500),IF(E53&gt;250000,((E53-250000)*0.05),0))),0))</f>
        <v>1166520</v>
      </c>
      <c r="H53" s="149"/>
      <c r="I53" s="150"/>
      <c r="K53" s="93" t="s">
        <v>147</v>
      </c>
      <c r="L53" s="151">
        <v>0.2</v>
      </c>
      <c r="M53" s="18">
        <f>500000*20%</f>
        <v>100000</v>
      </c>
    </row>
    <row r="54" spans="1:14" ht="15" customHeight="1" x14ac:dyDescent="0.25">
      <c r="A54" s="26"/>
      <c r="B54" s="154" t="s">
        <v>148</v>
      </c>
      <c r="C54" s="44" t="s">
        <v>149</v>
      </c>
      <c r="E54" s="17">
        <f>(G28+G31)</f>
        <v>785000</v>
      </c>
      <c r="F54" s="155">
        <v>0.1</v>
      </c>
      <c r="G54" s="18">
        <f>(E54-100000)*F54</f>
        <v>68500</v>
      </c>
      <c r="H54" s="149"/>
      <c r="I54" s="150"/>
      <c r="K54" s="93" t="s">
        <v>150</v>
      </c>
      <c r="L54" s="151">
        <v>0.3</v>
      </c>
      <c r="M54" s="18">
        <f>ROUND((E53-1000000)*30%,0)</f>
        <v>1054020</v>
      </c>
    </row>
    <row r="55" spans="1:14" ht="15" customHeight="1" thickBot="1" x14ac:dyDescent="0.3">
      <c r="A55" s="26"/>
      <c r="B55" s="154" t="s">
        <v>148</v>
      </c>
      <c r="C55" s="44" t="s">
        <v>151</v>
      </c>
      <c r="E55" s="156">
        <f>+G23+G20</f>
        <v>9798798</v>
      </c>
      <c r="F55" s="157">
        <v>0.2</v>
      </c>
      <c r="G55" s="60">
        <f>ROUND(E55*F55,0)</f>
        <v>1959760</v>
      </c>
      <c r="H55" s="158"/>
      <c r="I55" s="159"/>
      <c r="M55" s="160">
        <f>SUM(M52:M54)</f>
        <v>1166520</v>
      </c>
    </row>
    <row r="56" spans="1:14" ht="15" customHeight="1" thickTop="1" x14ac:dyDescent="0.25">
      <c r="A56" s="26"/>
      <c r="D56" s="153"/>
      <c r="E56" s="7"/>
      <c r="G56" s="32">
        <f>G53+G55+G54</f>
        <v>3194780</v>
      </c>
      <c r="H56" s="161"/>
      <c r="I56" s="162"/>
      <c r="K56" s="18" t="s">
        <v>152</v>
      </c>
      <c r="L56" s="17">
        <f>+E55</f>
        <v>9798798</v>
      </c>
    </row>
    <row r="57" spans="1:14" ht="15" customHeight="1" x14ac:dyDescent="0.25">
      <c r="A57" s="26"/>
      <c r="B57" s="44" t="s">
        <v>153</v>
      </c>
      <c r="C57" s="44" t="s">
        <v>154</v>
      </c>
      <c r="D57" s="153"/>
      <c r="E57" s="7"/>
      <c r="G57" s="163"/>
      <c r="H57" s="164">
        <f>G56-G57</f>
        <v>3194780</v>
      </c>
      <c r="I57" s="165"/>
      <c r="K57" s="18" t="s">
        <v>155</v>
      </c>
      <c r="L57" s="17">
        <f>+E54</f>
        <v>785000</v>
      </c>
      <c r="N57" s="18">
        <f>H57/H51</f>
        <v>0.21161408814972896</v>
      </c>
    </row>
    <row r="58" spans="1:14" ht="15" customHeight="1" x14ac:dyDescent="0.25">
      <c r="A58" s="26"/>
      <c r="B58" s="18" t="s">
        <v>156</v>
      </c>
      <c r="C58" s="44"/>
      <c r="D58" s="153"/>
      <c r="E58" s="7"/>
      <c r="G58" s="166">
        <v>0.15</v>
      </c>
      <c r="H58" s="167">
        <f>IF(H51&gt;10000000,H57*15%,IF(H51&gt;5000000,H57*10%,0))</f>
        <v>479217</v>
      </c>
      <c r="I58" s="168"/>
    </row>
    <row r="59" spans="1:14" ht="15" customHeight="1" x14ac:dyDescent="0.25">
      <c r="A59" s="26"/>
      <c r="C59" s="44"/>
      <c r="D59" s="153"/>
      <c r="E59" s="7"/>
      <c r="G59" s="32"/>
      <c r="H59" s="164">
        <f>H57+H58</f>
        <v>3673997</v>
      </c>
      <c r="I59" s="165"/>
    </row>
    <row r="60" spans="1:14" ht="15" customHeight="1" x14ac:dyDescent="0.25">
      <c r="A60" s="26"/>
      <c r="B60" s="44" t="s">
        <v>157</v>
      </c>
      <c r="D60" s="153"/>
      <c r="E60" s="7"/>
      <c r="G60" s="166">
        <v>0.04</v>
      </c>
      <c r="H60" s="167">
        <f>ROUND((H59)*0.04,0)</f>
        <v>146960</v>
      </c>
      <c r="I60" s="168"/>
      <c r="K60" s="169" t="s">
        <v>158</v>
      </c>
      <c r="L60" s="170" t="s">
        <v>159</v>
      </c>
      <c r="M60" s="170" t="s">
        <v>160</v>
      </c>
      <c r="N60" s="170" t="s">
        <v>161</v>
      </c>
    </row>
    <row r="61" spans="1:14" ht="15" customHeight="1" x14ac:dyDescent="0.25">
      <c r="A61" s="26"/>
      <c r="B61" s="139" t="s">
        <v>162</v>
      </c>
      <c r="D61" s="153"/>
      <c r="E61" s="143"/>
      <c r="G61" s="7"/>
      <c r="H61" s="161">
        <f>SUM(H59:H60)</f>
        <v>3820957</v>
      </c>
      <c r="I61" s="162"/>
      <c r="J61" s="171"/>
      <c r="K61" s="172" t="s">
        <v>163</v>
      </c>
      <c r="L61" s="173">
        <v>9000</v>
      </c>
      <c r="M61" s="173">
        <v>308000</v>
      </c>
      <c r="N61" s="174"/>
    </row>
    <row r="62" spans="1:14" ht="15" customHeight="1" x14ac:dyDescent="0.3">
      <c r="A62" s="26"/>
      <c r="B62" s="44" t="s">
        <v>164</v>
      </c>
      <c r="D62" s="153"/>
      <c r="E62" s="175" t="s">
        <v>165</v>
      </c>
      <c r="G62" s="176"/>
      <c r="H62" s="161">
        <f>+H115</f>
        <v>404400</v>
      </c>
      <c r="I62" s="162"/>
      <c r="J62" s="171"/>
      <c r="K62" s="172" t="s">
        <v>166</v>
      </c>
      <c r="L62" s="173">
        <v>8001500</v>
      </c>
      <c r="M62" s="177"/>
      <c r="N62" s="174"/>
    </row>
    <row r="63" spans="1:14" ht="15" customHeight="1" x14ac:dyDescent="0.25">
      <c r="A63" s="26"/>
      <c r="B63" s="44" t="s">
        <v>167</v>
      </c>
      <c r="C63" s="7"/>
      <c r="D63" s="7"/>
      <c r="E63" s="7"/>
      <c r="G63" s="176" t="s">
        <v>168</v>
      </c>
      <c r="H63" s="178"/>
      <c r="I63" s="179"/>
      <c r="J63" s="171"/>
      <c r="K63" s="172" t="s">
        <v>169</v>
      </c>
      <c r="L63" s="173">
        <v>86000</v>
      </c>
      <c r="M63" s="177"/>
      <c r="N63" s="174"/>
    </row>
    <row r="64" spans="1:14" ht="15" customHeight="1" x14ac:dyDescent="0.25">
      <c r="A64" s="26"/>
      <c r="B64" s="139" t="s">
        <v>170</v>
      </c>
      <c r="C64" s="7"/>
      <c r="D64" s="7"/>
      <c r="E64" s="7"/>
      <c r="F64" s="7"/>
      <c r="G64" s="7"/>
      <c r="H64" s="53">
        <f>H61+H63+H62</f>
        <v>4225357</v>
      </c>
      <c r="I64" s="31"/>
      <c r="J64" s="44"/>
      <c r="K64" s="172" t="s">
        <v>171</v>
      </c>
      <c r="L64" s="173">
        <v>515000</v>
      </c>
      <c r="M64" s="177"/>
    </row>
    <row r="65" spans="1:14" ht="15" customHeight="1" x14ac:dyDescent="0.25">
      <c r="A65" s="26"/>
      <c r="B65" s="21" t="s">
        <v>172</v>
      </c>
      <c r="C65" s="7"/>
      <c r="D65" s="7"/>
      <c r="E65" s="7"/>
      <c r="F65" s="7"/>
      <c r="G65" s="7"/>
      <c r="H65" s="53"/>
      <c r="I65" s="31"/>
      <c r="K65" s="180" t="s">
        <v>173</v>
      </c>
      <c r="L65" s="181">
        <f>L61+L62+L63+L64</f>
        <v>8611500</v>
      </c>
      <c r="M65" s="177"/>
    </row>
    <row r="66" spans="1:14" ht="15" customHeight="1" x14ac:dyDescent="0.3">
      <c r="A66" s="26"/>
      <c r="B66" s="182">
        <v>44180</v>
      </c>
      <c r="C66" s="183" t="s">
        <v>174</v>
      </c>
      <c r="D66" s="183"/>
      <c r="E66" s="184"/>
      <c r="F66" s="184"/>
      <c r="G66" s="156">
        <v>118000</v>
      </c>
      <c r="H66" s="53"/>
      <c r="I66" s="31"/>
      <c r="K66" s="172" t="s">
        <v>175</v>
      </c>
      <c r="L66" s="173">
        <v>48000</v>
      </c>
      <c r="M66" s="185" t="s">
        <v>176</v>
      </c>
    </row>
    <row r="67" spans="1:14" ht="15" customHeight="1" x14ac:dyDescent="0.3">
      <c r="A67" s="26"/>
      <c r="B67" s="182">
        <v>44245</v>
      </c>
      <c r="C67" s="183" t="s">
        <v>174</v>
      </c>
      <c r="D67" s="183"/>
      <c r="G67" s="156">
        <v>10000</v>
      </c>
      <c r="H67" s="53"/>
      <c r="I67" s="31"/>
      <c r="N67" s="186"/>
    </row>
    <row r="68" spans="1:14" ht="15" customHeight="1" x14ac:dyDescent="0.3">
      <c r="A68" s="26"/>
      <c r="B68" s="187"/>
      <c r="C68" s="183" t="s">
        <v>177</v>
      </c>
      <c r="D68" s="183"/>
      <c r="E68" s="184" t="s">
        <v>178</v>
      </c>
      <c r="F68" s="188"/>
      <c r="G68" s="156">
        <v>1018500</v>
      </c>
      <c r="H68" s="53">
        <f>SUM(G66:G68)</f>
        <v>1146500</v>
      </c>
      <c r="I68" s="31"/>
      <c r="K68" s="189" t="s">
        <v>179</v>
      </c>
      <c r="L68" s="190"/>
      <c r="M68" s="190"/>
    </row>
    <row r="69" spans="1:14" ht="15" customHeight="1" thickBot="1" x14ac:dyDescent="0.3">
      <c r="A69" s="191"/>
      <c r="B69" s="192" t="str">
        <f>IF(H69=0,"TAX  PAYABLE / REFUND ",IF(H69&lt;0,"REFUND","TAX  PAYABLE including Interest"))</f>
        <v>TAX  PAYABLE including Interest</v>
      </c>
      <c r="C69" s="193"/>
      <c r="D69" s="194"/>
      <c r="E69" s="194"/>
      <c r="F69" s="195" t="s">
        <v>180</v>
      </c>
      <c r="G69" s="196"/>
      <c r="H69" s="197">
        <f>ROUND((H64-H68)/10,0)*10</f>
        <v>3078860</v>
      </c>
      <c r="I69" s="198"/>
      <c r="K69" s="190" t="s">
        <v>181</v>
      </c>
      <c r="L69" s="190"/>
      <c r="M69" s="199">
        <f>+H10</f>
        <v>4167200</v>
      </c>
    </row>
    <row r="70" spans="1:14" ht="15" customHeight="1" x14ac:dyDescent="0.25">
      <c r="A70" s="200" t="s">
        <v>182</v>
      </c>
      <c r="B70" s="201"/>
      <c r="C70" s="201"/>
      <c r="D70" s="201"/>
      <c r="E70" s="201"/>
      <c r="F70" s="201"/>
      <c r="G70" s="201"/>
      <c r="H70" s="201"/>
      <c r="I70" s="202"/>
      <c r="K70" s="203" t="s">
        <v>183</v>
      </c>
      <c r="L70" s="190"/>
      <c r="M70" s="204">
        <f>+G45+G46+G47+G48+G49</f>
        <v>278000</v>
      </c>
    </row>
    <row r="71" spans="1:14" ht="15" customHeight="1" thickBot="1" x14ac:dyDescent="0.3">
      <c r="A71" s="205">
        <v>44497</v>
      </c>
      <c r="B71" s="206"/>
      <c r="C71" s="207" t="s">
        <v>184</v>
      </c>
      <c r="D71" s="208"/>
      <c r="E71" s="209" t="s">
        <v>185</v>
      </c>
      <c r="F71" s="210" t="s">
        <v>186</v>
      </c>
      <c r="G71" s="210"/>
      <c r="H71" s="210"/>
      <c r="I71" s="211"/>
      <c r="K71" s="190"/>
      <c r="L71" s="190"/>
      <c r="M71" s="212">
        <f>M69-M70</f>
        <v>3889200</v>
      </c>
    </row>
    <row r="72" spans="1:14" ht="15" customHeight="1" x14ac:dyDescent="0.3">
      <c r="A72" s="213"/>
      <c r="B72" s="214" t="s">
        <v>187</v>
      </c>
      <c r="C72" s="215"/>
      <c r="D72" s="215"/>
      <c r="E72" s="215"/>
      <c r="F72" s="215"/>
      <c r="G72" s="215"/>
      <c r="H72" s="215"/>
      <c r="I72" s="215"/>
      <c r="K72" s="216" t="s">
        <v>188</v>
      </c>
      <c r="L72" s="190"/>
      <c r="M72" s="190">
        <f>112500+(M71-1000000)*0.3</f>
        <v>979260</v>
      </c>
    </row>
    <row r="73" spans="1:14" ht="15" customHeight="1" x14ac:dyDescent="0.3">
      <c r="A73" s="213"/>
      <c r="B73" s="214" t="s">
        <v>189</v>
      </c>
      <c r="C73" s="215"/>
      <c r="D73" s="215"/>
      <c r="E73" s="215"/>
      <c r="F73" s="215"/>
      <c r="G73" s="215"/>
      <c r="H73" s="215"/>
      <c r="I73" s="215"/>
      <c r="K73" s="216" t="s">
        <v>190</v>
      </c>
      <c r="L73" s="217"/>
      <c r="M73" s="190"/>
    </row>
    <row r="74" spans="1:14" ht="15" customHeight="1" x14ac:dyDescent="0.3">
      <c r="A74" s="213"/>
      <c r="B74" s="214" t="s">
        <v>191</v>
      </c>
      <c r="C74" s="215"/>
      <c r="D74" s="215"/>
      <c r="E74" s="215"/>
      <c r="F74" s="215"/>
      <c r="G74" s="215"/>
      <c r="H74" s="215"/>
      <c r="I74" s="215"/>
      <c r="K74" s="216" t="s">
        <v>192</v>
      </c>
      <c r="L74" s="217">
        <v>0.04</v>
      </c>
      <c r="M74" s="190">
        <f>ROUND((M73+M72)*0.04,0)</f>
        <v>39170</v>
      </c>
    </row>
    <row r="75" spans="1:14" ht="15" customHeight="1" thickBot="1" x14ac:dyDescent="0.35">
      <c r="A75" s="213"/>
      <c r="B75" s="214"/>
      <c r="C75" s="215"/>
      <c r="D75" s="215"/>
      <c r="E75" s="215"/>
      <c r="F75" s="215"/>
      <c r="G75" s="215"/>
      <c r="H75" s="215"/>
      <c r="I75" s="215"/>
      <c r="K75" s="190"/>
      <c r="L75" s="190"/>
      <c r="M75" s="218">
        <f>SUM(M72:M74)</f>
        <v>1018430</v>
      </c>
    </row>
    <row r="76" spans="1:14" ht="15" customHeight="1" thickTop="1" x14ac:dyDescent="0.25">
      <c r="A76" s="219"/>
      <c r="B76" s="220" t="s">
        <v>193</v>
      </c>
      <c r="C76" s="221"/>
      <c r="D76" s="221"/>
      <c r="E76" s="221"/>
      <c r="F76" s="222"/>
      <c r="G76" s="221"/>
      <c r="H76" s="223"/>
      <c r="I76" s="215"/>
    </row>
    <row r="77" spans="1:14" ht="15" customHeight="1" x14ac:dyDescent="0.25">
      <c r="A77" s="219"/>
      <c r="B77" s="224" t="s">
        <v>194</v>
      </c>
      <c r="C77" s="221"/>
      <c r="D77" s="221"/>
      <c r="E77" s="221"/>
      <c r="F77" s="225" t="s">
        <v>195</v>
      </c>
      <c r="G77" s="226"/>
      <c r="H77" s="227"/>
      <c r="I77" s="228">
        <v>1215000</v>
      </c>
      <c r="J77" s="228"/>
      <c r="K77" s="32" t="s">
        <v>196</v>
      </c>
      <c r="L77" s="85">
        <v>1870000</v>
      </c>
    </row>
    <row r="78" spans="1:14" ht="15" customHeight="1" x14ac:dyDescent="0.25">
      <c r="A78" s="219"/>
      <c r="B78" s="224" t="s">
        <v>197</v>
      </c>
      <c r="C78" s="221"/>
      <c r="D78" s="221"/>
      <c r="E78" s="221"/>
      <c r="F78" s="225" t="s">
        <v>198</v>
      </c>
      <c r="G78" s="226"/>
      <c r="H78" s="227"/>
      <c r="I78" s="228">
        <v>1575000</v>
      </c>
      <c r="J78" s="228"/>
      <c r="K78" s="32" t="s">
        <v>199</v>
      </c>
      <c r="L78" s="107">
        <v>1215000</v>
      </c>
    </row>
    <row r="79" spans="1:14" ht="15" customHeight="1" x14ac:dyDescent="0.25">
      <c r="A79" s="229"/>
      <c r="B79" s="224" t="s">
        <v>200</v>
      </c>
      <c r="C79" s="44"/>
      <c r="D79" s="44"/>
      <c r="E79" s="44"/>
      <c r="F79" s="230" t="s">
        <v>201</v>
      </c>
      <c r="G79" s="230"/>
      <c r="H79" s="227"/>
      <c r="I79" s="228">
        <v>1575000</v>
      </c>
      <c r="J79" s="228"/>
      <c r="K79" s="32" t="s">
        <v>202</v>
      </c>
      <c r="L79" s="107">
        <v>1575000</v>
      </c>
    </row>
    <row r="80" spans="1:14" ht="15" customHeight="1" x14ac:dyDescent="0.25">
      <c r="A80" s="229"/>
      <c r="B80" s="224" t="s">
        <v>203</v>
      </c>
      <c r="C80" s="44"/>
      <c r="D80" s="44"/>
      <c r="E80" s="44"/>
      <c r="F80" s="230" t="s">
        <v>204</v>
      </c>
      <c r="G80" s="230"/>
      <c r="H80" s="227"/>
      <c r="I80" s="231">
        <f>L77-L79</f>
        <v>295000</v>
      </c>
      <c r="J80" s="231"/>
      <c r="L80" s="107"/>
    </row>
    <row r="81" spans="1:13" ht="15" customHeight="1" x14ac:dyDescent="0.25">
      <c r="A81" s="229"/>
      <c r="B81" s="44"/>
      <c r="C81" s="44"/>
      <c r="D81" s="44"/>
      <c r="E81" s="44"/>
      <c r="F81" s="44"/>
      <c r="G81" s="44"/>
      <c r="L81" s="107"/>
    </row>
    <row r="82" spans="1:13" ht="15" customHeight="1" x14ac:dyDescent="0.3">
      <c r="C82" s="233"/>
      <c r="D82" s="28"/>
      <c r="E82" s="28"/>
      <c r="F82" s="28"/>
      <c r="G82" s="28"/>
      <c r="H82" s="28"/>
      <c r="L82" s="234"/>
      <c r="M82" s="234"/>
    </row>
    <row r="83" spans="1:13" ht="15" customHeight="1" x14ac:dyDescent="0.3">
      <c r="B83" s="224" t="s">
        <v>194</v>
      </c>
      <c r="C83" s="233"/>
      <c r="D83" s="28"/>
      <c r="E83" s="28"/>
      <c r="F83" s="225" t="s">
        <v>205</v>
      </c>
      <c r="G83" s="226"/>
      <c r="H83" s="227"/>
      <c r="I83" s="228">
        <f>+L84</f>
        <v>217500</v>
      </c>
      <c r="J83" s="228"/>
      <c r="K83" s="32" t="s">
        <v>196</v>
      </c>
      <c r="L83" s="85">
        <v>3800000</v>
      </c>
    </row>
    <row r="84" spans="1:13" ht="15" customHeight="1" x14ac:dyDescent="0.3">
      <c r="B84" s="224" t="s">
        <v>197</v>
      </c>
      <c r="C84" s="233"/>
      <c r="D84" s="28"/>
      <c r="E84" s="28"/>
      <c r="F84" s="225" t="s">
        <v>206</v>
      </c>
      <c r="G84" s="226"/>
      <c r="H84" s="227"/>
      <c r="I84" s="228">
        <v>3310000</v>
      </c>
      <c r="J84" s="228"/>
      <c r="K84" s="32" t="s">
        <v>199</v>
      </c>
      <c r="L84" s="107">
        <v>217500</v>
      </c>
    </row>
    <row r="85" spans="1:13" ht="15" customHeight="1" x14ac:dyDescent="0.25">
      <c r="B85" s="224" t="s">
        <v>200</v>
      </c>
      <c r="C85" s="28"/>
      <c r="D85" s="28"/>
      <c r="E85" s="28"/>
      <c r="F85" s="230" t="s">
        <v>207</v>
      </c>
      <c r="G85" s="230"/>
      <c r="H85" s="227"/>
      <c r="I85" s="228">
        <v>3310000</v>
      </c>
      <c r="J85" s="228"/>
      <c r="K85" s="32" t="s">
        <v>202</v>
      </c>
      <c r="L85" s="107">
        <v>3310000</v>
      </c>
    </row>
    <row r="86" spans="1:13" ht="15" customHeight="1" x14ac:dyDescent="0.25">
      <c r="B86" s="224" t="s">
        <v>203</v>
      </c>
      <c r="F86" s="230" t="s">
        <v>208</v>
      </c>
      <c r="G86" s="230"/>
      <c r="H86" s="227"/>
      <c r="I86" s="231">
        <f>L83-L85</f>
        <v>490000</v>
      </c>
      <c r="J86" s="231"/>
      <c r="L86" s="107"/>
    </row>
    <row r="87" spans="1:13" ht="15" customHeight="1" x14ac:dyDescent="0.25">
      <c r="L87" s="107"/>
    </row>
    <row r="88" spans="1:13" ht="15" customHeight="1" x14ac:dyDescent="0.25">
      <c r="C88" s="235"/>
      <c r="F88" s="236" t="s">
        <v>209</v>
      </c>
      <c r="G88" s="237"/>
      <c r="H88" s="237"/>
      <c r="K88" s="238" t="s">
        <v>210</v>
      </c>
      <c r="L88" s="107"/>
    </row>
    <row r="89" spans="1:13" ht="15" customHeight="1" x14ac:dyDescent="0.25">
      <c r="C89" s="239"/>
      <c r="F89" s="128" t="s">
        <v>211</v>
      </c>
      <c r="G89" s="128"/>
      <c r="H89" s="240">
        <f>+G7-M7</f>
        <v>4231200</v>
      </c>
      <c r="K89" s="18" t="s">
        <v>8</v>
      </c>
      <c r="L89" s="107"/>
    </row>
    <row r="90" spans="1:13" ht="15" customHeight="1" x14ac:dyDescent="0.25">
      <c r="C90" s="241"/>
      <c r="F90" s="51" t="s">
        <v>212</v>
      </c>
      <c r="G90" s="51"/>
      <c r="H90" s="17">
        <f>+H15</f>
        <v>60000</v>
      </c>
      <c r="K90" s="18" t="s">
        <v>213</v>
      </c>
    </row>
    <row r="91" spans="1:13" ht="15" customHeight="1" x14ac:dyDescent="0.25">
      <c r="C91" s="242"/>
      <c r="F91" s="51" t="s">
        <v>214</v>
      </c>
      <c r="G91" s="51"/>
      <c r="H91" s="17">
        <f>+H33</f>
        <v>10583798</v>
      </c>
      <c r="K91" s="243" t="s">
        <v>215</v>
      </c>
    </row>
    <row r="92" spans="1:13" ht="15" customHeight="1" x14ac:dyDescent="0.25">
      <c r="F92" s="244" t="s">
        <v>216</v>
      </c>
      <c r="G92" s="244"/>
      <c r="H92" s="245">
        <f>+H39</f>
        <v>574200</v>
      </c>
      <c r="K92" s="243" t="s">
        <v>217</v>
      </c>
    </row>
    <row r="93" spans="1:13" ht="15" customHeight="1" thickBot="1" x14ac:dyDescent="0.3">
      <c r="B93" s="7" t="s">
        <v>218</v>
      </c>
      <c r="C93" s="151">
        <v>0.1</v>
      </c>
      <c r="D93" s="151">
        <v>0.2</v>
      </c>
      <c r="E93" s="7" t="s">
        <v>219</v>
      </c>
      <c r="F93" s="246"/>
      <c r="G93" s="247" t="s">
        <v>220</v>
      </c>
      <c r="H93" s="248">
        <f>SUM(H89:H92)</f>
        <v>15449198</v>
      </c>
      <c r="K93" s="93" t="s">
        <v>221</v>
      </c>
    </row>
    <row r="94" spans="1:13" ht="15" customHeight="1" thickTop="1" x14ac:dyDescent="0.25">
      <c r="A94" s="232" t="s">
        <v>222</v>
      </c>
      <c r="B94" s="17">
        <f>+H89+H90+H92</f>
        <v>4865400</v>
      </c>
      <c r="C94" s="17">
        <f>+E54</f>
        <v>785000</v>
      </c>
      <c r="D94" s="17">
        <f>+E55</f>
        <v>9798798</v>
      </c>
      <c r="E94" s="17">
        <f>B94+C94+D94</f>
        <v>15449198</v>
      </c>
      <c r="K94" s="93" t="s">
        <v>223</v>
      </c>
    </row>
    <row r="95" spans="1:13" ht="15" customHeight="1" x14ac:dyDescent="0.25">
      <c r="A95" s="232" t="s">
        <v>224</v>
      </c>
      <c r="B95" s="18">
        <f>ROUND(12500+100000+(B94-1000000)*0.3,0)</f>
        <v>1272120</v>
      </c>
      <c r="C95" s="18">
        <v>68500</v>
      </c>
      <c r="D95" s="18">
        <f>ROUND(D94*D93,0)</f>
        <v>1959760</v>
      </c>
      <c r="E95" s="249">
        <f>B95+C95+D95</f>
        <v>3300380</v>
      </c>
      <c r="F95" s="28" t="s">
        <v>188</v>
      </c>
      <c r="K95" s="243" t="s">
        <v>225</v>
      </c>
    </row>
    <row r="96" spans="1:13" ht="15" customHeight="1" x14ac:dyDescent="0.25">
      <c r="E96" s="244">
        <f>ROUND(E95*0.15,0)</f>
        <v>495057</v>
      </c>
      <c r="F96" s="250" t="s">
        <v>226</v>
      </c>
      <c r="K96" s="251" t="s">
        <v>227</v>
      </c>
    </row>
    <row r="97" spans="2:11" ht="15" customHeight="1" x14ac:dyDescent="0.25">
      <c r="E97" s="17">
        <f>E95+E96</f>
        <v>3795437</v>
      </c>
      <c r="K97" s="251" t="s">
        <v>228</v>
      </c>
    </row>
    <row r="98" spans="2:11" ht="15" customHeight="1" x14ac:dyDescent="0.25">
      <c r="E98" s="18">
        <f>ROUND(E97*0.04,0)</f>
        <v>151817</v>
      </c>
      <c r="F98" s="28" t="s">
        <v>229</v>
      </c>
      <c r="K98" s="243" t="s">
        <v>216</v>
      </c>
    </row>
    <row r="99" spans="2:11" ht="15" customHeight="1" thickBot="1" x14ac:dyDescent="0.3">
      <c r="E99" s="248">
        <f>SUM(E97:E98)</f>
        <v>3947254</v>
      </c>
      <c r="F99" s="252" t="s">
        <v>230</v>
      </c>
      <c r="K99" s="93" t="s">
        <v>231</v>
      </c>
    </row>
    <row r="100" spans="2:11" ht="15" customHeight="1" thickTop="1" x14ac:dyDescent="0.25">
      <c r="K100" s="93" t="s">
        <v>232</v>
      </c>
    </row>
    <row r="101" spans="2:11" ht="15" customHeight="1" thickBot="1" x14ac:dyDescent="0.3">
      <c r="K101" s="80" t="s">
        <v>233</v>
      </c>
    </row>
    <row r="102" spans="2:11" ht="15" customHeight="1" x14ac:dyDescent="0.25">
      <c r="E102" s="253" t="s">
        <v>209</v>
      </c>
      <c r="F102" s="254"/>
      <c r="G102" s="255"/>
      <c r="H102" s="256"/>
    </row>
    <row r="103" spans="2:11" ht="15" customHeight="1" x14ac:dyDescent="0.25">
      <c r="E103" s="257" t="s">
        <v>234</v>
      </c>
      <c r="F103" s="116"/>
      <c r="G103" s="258" t="s">
        <v>235</v>
      </c>
      <c r="H103" s="256"/>
    </row>
    <row r="104" spans="2:11" ht="15" customHeight="1" x14ac:dyDescent="0.25">
      <c r="E104" s="257" t="s">
        <v>236</v>
      </c>
      <c r="F104" s="116"/>
      <c r="G104" s="259">
        <v>0.05</v>
      </c>
    </row>
    <row r="105" spans="2:11" ht="15" customHeight="1" x14ac:dyDescent="0.25">
      <c r="E105" s="257" t="s">
        <v>237</v>
      </c>
      <c r="F105" s="116"/>
      <c r="G105" s="259">
        <v>0.1</v>
      </c>
    </row>
    <row r="106" spans="2:11" ht="15" customHeight="1" x14ac:dyDescent="0.25">
      <c r="E106" s="257" t="s">
        <v>238</v>
      </c>
      <c r="F106" s="116"/>
      <c r="G106" s="259">
        <v>0.15</v>
      </c>
    </row>
    <row r="107" spans="2:11" ht="15" customHeight="1" x14ac:dyDescent="0.25">
      <c r="E107" s="257" t="s">
        <v>239</v>
      </c>
      <c r="F107" s="116"/>
      <c r="G107" s="259">
        <v>0.2</v>
      </c>
    </row>
    <row r="108" spans="2:11" ht="15" customHeight="1" x14ac:dyDescent="0.25">
      <c r="E108" s="257" t="s">
        <v>240</v>
      </c>
      <c r="F108" s="116"/>
      <c r="G108" s="259">
        <v>0.25</v>
      </c>
    </row>
    <row r="109" spans="2:11" ht="15" customHeight="1" x14ac:dyDescent="0.25">
      <c r="E109" s="257" t="s">
        <v>241</v>
      </c>
      <c r="F109" s="116"/>
      <c r="G109" s="259">
        <v>0.3</v>
      </c>
    </row>
    <row r="110" spans="2:11" ht="15" customHeight="1" x14ac:dyDescent="0.25">
      <c r="B110" s="222" t="s">
        <v>242</v>
      </c>
      <c r="C110" s="50" t="s">
        <v>243</v>
      </c>
      <c r="E110" s="260" t="s">
        <v>244</v>
      </c>
      <c r="F110" s="261"/>
      <c r="G110" s="262"/>
    </row>
    <row r="111" spans="2:11" ht="15" customHeight="1" x14ac:dyDescent="0.25">
      <c r="B111" s="222" t="s">
        <v>245</v>
      </c>
      <c r="C111" s="263" t="s">
        <v>246</v>
      </c>
      <c r="E111" s="264" t="s">
        <v>247</v>
      </c>
      <c r="F111" s="265"/>
      <c r="G111" s="266"/>
    </row>
    <row r="112" spans="2:11" ht="15" customHeight="1" x14ac:dyDescent="0.25">
      <c r="B112" s="267" t="s">
        <v>248</v>
      </c>
      <c r="C112" s="263" t="s">
        <v>249</v>
      </c>
      <c r="E112" s="268" t="s">
        <v>250</v>
      </c>
      <c r="F112" s="269"/>
      <c r="G112" s="270"/>
    </row>
    <row r="113" spans="1:14" ht="15" customHeight="1" thickBot="1" x14ac:dyDescent="0.3">
      <c r="B113" s="267" t="s">
        <v>251</v>
      </c>
      <c r="C113" s="263" t="s">
        <v>252</v>
      </c>
      <c r="E113" s="271" t="s">
        <v>253</v>
      </c>
      <c r="F113" s="272"/>
      <c r="G113" s="273"/>
    </row>
    <row r="115" spans="1:14" ht="15" customHeight="1" x14ac:dyDescent="0.25">
      <c r="B115" s="274" t="s">
        <v>254</v>
      </c>
      <c r="C115" s="275"/>
      <c r="D115" s="275"/>
      <c r="E115" s="275"/>
      <c r="F115" s="275"/>
      <c r="G115" s="276" t="s">
        <v>255</v>
      </c>
      <c r="H115" s="277">
        <f>+H127+H139+H149</f>
        <v>404400</v>
      </c>
      <c r="K115" s="32" t="s">
        <v>256</v>
      </c>
      <c r="L115" s="278">
        <v>0.1</v>
      </c>
      <c r="N115" s="279"/>
    </row>
    <row r="116" spans="1:14" ht="15" customHeight="1" x14ac:dyDescent="0.25">
      <c r="B116" s="280" t="s">
        <v>257</v>
      </c>
      <c r="C116" s="281"/>
      <c r="D116" s="281"/>
      <c r="E116" s="281"/>
      <c r="F116" s="281"/>
      <c r="G116" s="282"/>
      <c r="H116" s="283"/>
      <c r="K116" s="32" t="s">
        <v>258</v>
      </c>
      <c r="L116" s="278">
        <v>0.115</v>
      </c>
      <c r="M116" s="17"/>
      <c r="N116" s="279"/>
    </row>
    <row r="117" spans="1:14" ht="15" customHeight="1" x14ac:dyDescent="0.25">
      <c r="B117" s="284" t="s">
        <v>259</v>
      </c>
      <c r="C117" s="281"/>
      <c r="D117" s="281"/>
      <c r="E117" s="17">
        <f>H117-(490000*L117)</f>
        <v>3762353</v>
      </c>
      <c r="G117" s="285"/>
      <c r="H117" s="17">
        <f>+H61</f>
        <v>3820957</v>
      </c>
      <c r="K117" s="32" t="s">
        <v>260</v>
      </c>
      <c r="L117" s="278">
        <f>11.5%*1.04</f>
        <v>0.11960000000000001</v>
      </c>
    </row>
    <row r="118" spans="1:14" ht="15" customHeight="1" x14ac:dyDescent="0.25">
      <c r="B118" s="284" t="s">
        <v>261</v>
      </c>
      <c r="C118" s="281"/>
      <c r="D118" s="281"/>
      <c r="E118" s="17">
        <f>+H118</f>
        <v>-1018500</v>
      </c>
      <c r="G118" s="285"/>
      <c r="H118" s="17">
        <f>+G68*-1</f>
        <v>-1018500</v>
      </c>
    </row>
    <row r="119" spans="1:14" ht="15" customHeight="1" thickBot="1" x14ac:dyDescent="0.3">
      <c r="B119" s="284" t="s">
        <v>262</v>
      </c>
      <c r="C119" s="281"/>
      <c r="D119" s="281"/>
      <c r="E119" s="246">
        <f>SUM(E117:E118)</f>
        <v>2743853</v>
      </c>
      <c r="G119" s="285"/>
      <c r="H119" s="246">
        <f>SUM(H117:H118)</f>
        <v>2802457</v>
      </c>
    </row>
    <row r="120" spans="1:14" ht="15" customHeight="1" thickTop="1" x14ac:dyDescent="0.25">
      <c r="C120" s="281"/>
      <c r="D120" s="281"/>
      <c r="E120" s="18">
        <f>+E119</f>
        <v>2743853</v>
      </c>
      <c r="G120" s="286">
        <f>IF(G119&gt;10000,G119,0)</f>
        <v>0</v>
      </c>
      <c r="H120" s="18">
        <f>+H119</f>
        <v>2802457</v>
      </c>
    </row>
    <row r="121" spans="1:14" ht="19.8" customHeight="1" x14ac:dyDescent="0.25">
      <c r="B121" s="287" t="s">
        <v>263</v>
      </c>
      <c r="C121" s="288" t="s">
        <v>264</v>
      </c>
      <c r="D121" s="288" t="s">
        <v>265</v>
      </c>
      <c r="E121" s="288" t="s">
        <v>266</v>
      </c>
      <c r="F121" s="289" t="s">
        <v>267</v>
      </c>
      <c r="G121" s="290" t="s">
        <v>268</v>
      </c>
      <c r="H121" s="288" t="s">
        <v>269</v>
      </c>
    </row>
    <row r="122" spans="1:14" ht="15" customHeight="1" x14ac:dyDescent="0.25">
      <c r="A122" s="291">
        <v>1</v>
      </c>
      <c r="B122" s="292"/>
      <c r="C122" s="293"/>
      <c r="D122" s="292">
        <v>43997</v>
      </c>
      <c r="E122" s="285">
        <f>(E120*0.15)</f>
        <v>411577.95</v>
      </c>
      <c r="F122" s="285">
        <f>ROUNDDOWN(+E122,-2)</f>
        <v>411500</v>
      </c>
      <c r="G122" s="285">
        <f>(F122-C122)</f>
        <v>411500</v>
      </c>
      <c r="H122" s="294">
        <f>IF(G122&gt;0,G122*0.12/12*3,0)</f>
        <v>12345</v>
      </c>
      <c r="I122" s="295" t="s">
        <v>270</v>
      </c>
      <c r="J122" s="295"/>
      <c r="K122" s="296" t="s">
        <v>271</v>
      </c>
      <c r="M122" s="17"/>
    </row>
    <row r="123" spans="1:14" ht="15" customHeight="1" x14ac:dyDescent="0.25">
      <c r="A123" s="291">
        <v>2</v>
      </c>
      <c r="C123" s="293">
        <f>+G88</f>
        <v>0</v>
      </c>
      <c r="D123" s="292">
        <v>44089</v>
      </c>
      <c r="E123" s="285">
        <f>H120*0.45</f>
        <v>1261105.6500000001</v>
      </c>
      <c r="F123" s="285">
        <f>ROUNDDOWN(+E123,-2)</f>
        <v>1261100</v>
      </c>
      <c r="G123" s="285">
        <f>(F123-C123-C122)</f>
        <v>1261100</v>
      </c>
      <c r="H123" s="294">
        <f>IF(G123&gt;0,G123*0.12/12*3,0)</f>
        <v>37833</v>
      </c>
      <c r="J123" s="297" t="s">
        <v>272</v>
      </c>
      <c r="K123" s="298">
        <f>+H127</f>
        <v>136960</v>
      </c>
      <c r="L123" s="18">
        <f>L121-L122</f>
        <v>0</v>
      </c>
    </row>
    <row r="124" spans="1:14" ht="15" customHeight="1" x14ac:dyDescent="0.25">
      <c r="A124" s="291">
        <v>3</v>
      </c>
      <c r="B124" s="292">
        <v>44180</v>
      </c>
      <c r="C124" s="293">
        <v>118000</v>
      </c>
      <c r="D124" s="292">
        <v>44180</v>
      </c>
      <c r="E124" s="285">
        <f>H120*0.75</f>
        <v>2101842.75</v>
      </c>
      <c r="F124" s="285">
        <f>ROUNDDOWN(+E124,-2)</f>
        <v>2101800</v>
      </c>
      <c r="G124" s="285">
        <f>(F124-(C122+C123+C124))</f>
        <v>1983800</v>
      </c>
      <c r="H124" s="294">
        <f>IF(G124&gt;0,G124*0.12/12*3,0)</f>
        <v>59514</v>
      </c>
      <c r="J124" s="297" t="s">
        <v>273</v>
      </c>
      <c r="K124" s="298">
        <f>+K123</f>
        <v>136960</v>
      </c>
    </row>
    <row r="125" spans="1:14" ht="15" customHeight="1" x14ac:dyDescent="0.25">
      <c r="A125" s="291">
        <v>4</v>
      </c>
      <c r="B125" s="292">
        <v>44245</v>
      </c>
      <c r="C125" s="293">
        <v>10000</v>
      </c>
      <c r="D125" s="292">
        <v>44270</v>
      </c>
      <c r="E125" s="285">
        <f>H120*1</f>
        <v>2802457</v>
      </c>
      <c r="F125" s="285">
        <f>ROUNDDOWN(+E125,-2)</f>
        <v>2802400</v>
      </c>
      <c r="G125" s="285">
        <f>(F125-(C122+C123+C124+C125))</f>
        <v>2674400</v>
      </c>
      <c r="H125" s="294">
        <f>IF(G125&gt;0,G125*0.12/12,0)</f>
        <v>26744</v>
      </c>
      <c r="J125" s="297" t="s">
        <v>274</v>
      </c>
      <c r="K125" s="298">
        <f>+K123</f>
        <v>136960</v>
      </c>
      <c r="L125" s="7" t="s">
        <v>275</v>
      </c>
    </row>
    <row r="126" spans="1:14" ht="15" customHeight="1" x14ac:dyDescent="0.25">
      <c r="A126" s="291">
        <v>5</v>
      </c>
      <c r="B126" s="292"/>
      <c r="C126" s="293"/>
      <c r="D126" s="292">
        <v>44286</v>
      </c>
      <c r="F126" s="299"/>
      <c r="G126" s="300" t="s">
        <v>276</v>
      </c>
      <c r="H126" s="298">
        <v>524</v>
      </c>
      <c r="L126" s="18">
        <v>136960</v>
      </c>
      <c r="M126" s="17">
        <f>L126-H127</f>
        <v>0</v>
      </c>
    </row>
    <row r="127" spans="1:14" ht="15" customHeight="1" thickBot="1" x14ac:dyDescent="0.3">
      <c r="B127" s="281"/>
      <c r="C127" s="301">
        <f>SUM(C122:C126)</f>
        <v>128000</v>
      </c>
      <c r="D127" s="281"/>
      <c r="E127" s="281"/>
      <c r="F127" s="281"/>
      <c r="G127" s="281"/>
      <c r="H127" s="302">
        <f>SUM(H122:H126)</f>
        <v>136960</v>
      </c>
      <c r="J127" s="7"/>
    </row>
    <row r="128" spans="1:14" ht="15" customHeight="1" thickTop="1" thickBot="1" x14ac:dyDescent="0.3">
      <c r="A128" s="303"/>
      <c r="B128" s="304"/>
      <c r="C128" s="305"/>
      <c r="D128" s="304"/>
      <c r="E128" s="304"/>
      <c r="F128" s="304"/>
      <c r="G128" s="304"/>
      <c r="H128" s="304"/>
      <c r="J128" s="7"/>
    </row>
    <row r="129" spans="1:11" ht="15" customHeight="1" x14ac:dyDescent="0.25">
      <c r="B129" s="280" t="s">
        <v>277</v>
      </c>
      <c r="C129" s="306"/>
      <c r="D129" s="281"/>
      <c r="E129" s="281"/>
      <c r="F129" s="281"/>
      <c r="G129" s="281"/>
      <c r="H129" s="307" t="s">
        <v>269</v>
      </c>
      <c r="J129" s="7"/>
    </row>
    <row r="130" spans="1:11" ht="15" customHeight="1" x14ac:dyDescent="0.25">
      <c r="B130" s="284" t="s">
        <v>259</v>
      </c>
      <c r="C130" s="281"/>
      <c r="D130" s="281"/>
      <c r="E130" s="285">
        <f>+H117</f>
        <v>3820957</v>
      </c>
      <c r="F130" s="281"/>
      <c r="G130" s="308">
        <v>44287</v>
      </c>
      <c r="H130" s="294">
        <v>26744</v>
      </c>
      <c r="J130" s="7"/>
    </row>
    <row r="131" spans="1:11" ht="15" customHeight="1" x14ac:dyDescent="0.25">
      <c r="B131" s="309" t="s">
        <v>261</v>
      </c>
      <c r="C131" s="281"/>
      <c r="D131" s="281"/>
      <c r="E131" s="285">
        <f>+H118</f>
        <v>-1018500</v>
      </c>
      <c r="F131" s="281"/>
      <c r="G131" s="308">
        <v>44317</v>
      </c>
      <c r="H131" s="294">
        <f>+H130</f>
        <v>26744</v>
      </c>
      <c r="J131" s="7"/>
    </row>
    <row r="132" spans="1:11" ht="15" customHeight="1" thickBot="1" x14ac:dyDescent="0.3">
      <c r="B132" s="309"/>
      <c r="C132" s="281"/>
      <c r="D132" s="281"/>
      <c r="E132" s="310">
        <f>E130+E131</f>
        <v>2802457</v>
      </c>
      <c r="G132" s="308">
        <v>44348</v>
      </c>
      <c r="H132" s="294">
        <f t="shared" ref="H132:H136" si="0">+H131</f>
        <v>26744</v>
      </c>
      <c r="J132" s="7"/>
    </row>
    <row r="133" spans="1:11" ht="15" customHeight="1" thickTop="1" x14ac:dyDescent="0.25">
      <c r="F133" s="281"/>
      <c r="G133" s="308">
        <v>44378</v>
      </c>
      <c r="H133" s="294">
        <f t="shared" si="0"/>
        <v>26744</v>
      </c>
      <c r="J133" s="7"/>
    </row>
    <row r="134" spans="1:11" ht="15" customHeight="1" x14ac:dyDescent="0.25">
      <c r="B134" s="281" t="s">
        <v>278</v>
      </c>
      <c r="C134" s="306"/>
      <c r="D134" s="311">
        <v>0.9</v>
      </c>
      <c r="E134" s="312">
        <f>ROUND(E132*90%,0)</f>
        <v>2522211</v>
      </c>
      <c r="F134" s="281"/>
      <c r="G134" s="308">
        <v>44409</v>
      </c>
      <c r="H134" s="294">
        <f t="shared" si="0"/>
        <v>26744</v>
      </c>
      <c r="J134" s="7"/>
    </row>
    <row r="135" spans="1:11" ht="15" customHeight="1" x14ac:dyDescent="0.25">
      <c r="B135" s="281" t="s">
        <v>279</v>
      </c>
      <c r="C135" s="306"/>
      <c r="D135" s="281"/>
      <c r="E135" s="285">
        <f>ROUND(+C127,0)</f>
        <v>128000</v>
      </c>
      <c r="F135" s="281"/>
      <c r="G135" s="308">
        <v>44440</v>
      </c>
      <c r="H135" s="294">
        <f t="shared" si="0"/>
        <v>26744</v>
      </c>
      <c r="I135" s="313" t="s">
        <v>270</v>
      </c>
      <c r="J135" s="313"/>
      <c r="K135" s="129" t="s">
        <v>280</v>
      </c>
    </row>
    <row r="136" spans="1:11" ht="15" customHeight="1" x14ac:dyDescent="0.25">
      <c r="B136" s="18" t="s">
        <v>281</v>
      </c>
      <c r="C136" s="306"/>
      <c r="D136" s="281"/>
      <c r="E136" s="285">
        <f>E132-E135</f>
        <v>2674457</v>
      </c>
      <c r="F136" s="285">
        <f>ROUNDDOWN(E136,-2)</f>
        <v>2674400</v>
      </c>
      <c r="G136" s="308">
        <v>44470</v>
      </c>
      <c r="H136" s="294">
        <f t="shared" si="0"/>
        <v>26744</v>
      </c>
      <c r="J136" s="85" t="s">
        <v>272</v>
      </c>
      <c r="K136" s="314">
        <f>+H139</f>
        <v>187208</v>
      </c>
    </row>
    <row r="137" spans="1:11" ht="15" customHeight="1" x14ac:dyDescent="0.25">
      <c r="B137" s="232"/>
      <c r="C137" s="281" t="s">
        <v>282</v>
      </c>
      <c r="D137" s="281"/>
      <c r="E137" s="315">
        <f>+G77</f>
        <v>0</v>
      </c>
      <c r="F137" s="281"/>
      <c r="G137" s="308">
        <v>44501</v>
      </c>
      <c r="J137" s="85" t="s">
        <v>273</v>
      </c>
      <c r="K137" s="314">
        <f>+K136+H131</f>
        <v>213952</v>
      </c>
    </row>
    <row r="138" spans="1:11" ht="15" customHeight="1" x14ac:dyDescent="0.25">
      <c r="C138" s="27" t="s">
        <v>283</v>
      </c>
      <c r="E138" s="315"/>
      <c r="F138" s="281"/>
      <c r="G138" s="308">
        <v>44531</v>
      </c>
      <c r="H138" s="316"/>
      <c r="J138" s="85" t="s">
        <v>274</v>
      </c>
      <c r="K138" s="314">
        <f>+K137+H131</f>
        <v>240696</v>
      </c>
    </row>
    <row r="139" spans="1:11" ht="15" customHeight="1" thickBot="1" x14ac:dyDescent="0.3">
      <c r="C139" s="284" t="s">
        <v>284</v>
      </c>
      <c r="E139" s="317">
        <f>+E136</f>
        <v>2674457</v>
      </c>
      <c r="F139" s="281"/>
      <c r="G139" s="281"/>
      <c r="H139" s="302">
        <f>SUM(H130:H138)</f>
        <v>187208</v>
      </c>
      <c r="J139" s="7"/>
    </row>
    <row r="140" spans="1:11" ht="15" customHeight="1" thickTop="1" x14ac:dyDescent="0.25">
      <c r="B140" s="18" t="s">
        <v>285</v>
      </c>
      <c r="C140" s="284"/>
      <c r="E140" s="318">
        <f>E136-E137</f>
        <v>2674457</v>
      </c>
      <c r="F140" s="285">
        <f>ROUNDDOWN(E140,-2)</f>
        <v>2674400</v>
      </c>
      <c r="G140" s="281"/>
      <c r="H140" s="316"/>
      <c r="J140" s="7"/>
    </row>
    <row r="141" spans="1:11" ht="15" customHeight="1" thickBot="1" x14ac:dyDescent="0.3">
      <c r="A141" s="303"/>
      <c r="B141" s="319"/>
      <c r="C141" s="320"/>
      <c r="D141" s="319"/>
      <c r="E141" s="321"/>
      <c r="F141" s="322"/>
      <c r="G141" s="304"/>
      <c r="H141" s="323"/>
      <c r="J141" s="7"/>
    </row>
    <row r="142" spans="1:11" ht="15" customHeight="1" x14ac:dyDescent="0.25">
      <c r="B142" s="280" t="s">
        <v>286</v>
      </c>
      <c r="C142" s="324"/>
      <c r="D142" s="324"/>
      <c r="E142" s="324"/>
      <c r="F142" s="324"/>
      <c r="G142" s="324"/>
      <c r="H142" s="324"/>
      <c r="I142" s="324"/>
      <c r="J142" s="316"/>
    </row>
    <row r="143" spans="1:11" ht="15" customHeight="1" x14ac:dyDescent="0.25">
      <c r="B143" s="284" t="s">
        <v>259</v>
      </c>
      <c r="C143" s="281"/>
      <c r="D143" s="281"/>
      <c r="E143" s="285">
        <f>+E130</f>
        <v>3820957</v>
      </c>
      <c r="F143" s="324"/>
      <c r="G143" s="281"/>
      <c r="H143" s="307" t="s">
        <v>269</v>
      </c>
      <c r="I143" s="324"/>
      <c r="J143" s="316"/>
    </row>
    <row r="144" spans="1:11" ht="15" customHeight="1" x14ac:dyDescent="0.25">
      <c r="B144" s="309" t="s">
        <v>261</v>
      </c>
      <c r="C144" s="281"/>
      <c r="D144" s="281"/>
      <c r="E144" s="285">
        <f>+E131</f>
        <v>-1018500</v>
      </c>
      <c r="F144" s="324"/>
      <c r="G144" s="308">
        <v>44409</v>
      </c>
      <c r="H144" s="294">
        <v>26744</v>
      </c>
      <c r="I144" s="324"/>
      <c r="J144" s="316"/>
    </row>
    <row r="145" spans="1:12" ht="15" customHeight="1" x14ac:dyDescent="0.25">
      <c r="B145" s="309" t="s">
        <v>287</v>
      </c>
      <c r="C145" s="281"/>
      <c r="D145" s="281"/>
      <c r="E145" s="318">
        <v>-128000</v>
      </c>
      <c r="F145" s="324"/>
      <c r="G145" s="308">
        <v>44440</v>
      </c>
      <c r="H145" s="294">
        <f>+H144</f>
        <v>26744</v>
      </c>
      <c r="I145" s="325" t="s">
        <v>270</v>
      </c>
      <c r="J145" s="325"/>
      <c r="K145" s="326" t="s">
        <v>288</v>
      </c>
    </row>
    <row r="146" spans="1:12" ht="15" customHeight="1" x14ac:dyDescent="0.25">
      <c r="B146" s="309" t="s">
        <v>289</v>
      </c>
      <c r="C146" s="281"/>
      <c r="D146" s="281"/>
      <c r="E146" s="57"/>
      <c r="F146" s="324"/>
      <c r="G146" s="308">
        <v>44470</v>
      </c>
      <c r="H146" s="294">
        <f>+H145</f>
        <v>26744</v>
      </c>
      <c r="I146" s="324"/>
      <c r="J146" s="327" t="s">
        <v>272</v>
      </c>
      <c r="K146" s="328">
        <f>SUM(H144:H146)</f>
        <v>80232</v>
      </c>
    </row>
    <row r="147" spans="1:12" ht="15" customHeight="1" x14ac:dyDescent="0.25">
      <c r="B147" s="309"/>
      <c r="C147" s="281"/>
      <c r="D147" s="281"/>
      <c r="E147" s="57"/>
      <c r="F147" s="324"/>
      <c r="G147" s="308">
        <v>44501</v>
      </c>
      <c r="H147" s="294"/>
      <c r="I147" s="324"/>
      <c r="J147" s="327" t="s">
        <v>273</v>
      </c>
      <c r="K147" s="328">
        <f>K146+H145</f>
        <v>106976</v>
      </c>
    </row>
    <row r="148" spans="1:12" ht="15" customHeight="1" x14ac:dyDescent="0.25">
      <c r="B148" s="309"/>
      <c r="C148" s="281"/>
      <c r="D148" s="281"/>
      <c r="E148" s="17"/>
      <c r="F148" s="324"/>
      <c r="G148" s="308">
        <v>44531</v>
      </c>
      <c r="H148" s="294"/>
      <c r="I148" s="324"/>
      <c r="J148" s="327" t="s">
        <v>274</v>
      </c>
      <c r="K148" s="328">
        <f>K147+H146</f>
        <v>133720</v>
      </c>
    </row>
    <row r="149" spans="1:12" ht="15" customHeight="1" thickBot="1" x14ac:dyDescent="0.3">
      <c r="E149" s="310">
        <f>SUM(E143:E148)</f>
        <v>2674457</v>
      </c>
      <c r="F149" s="324"/>
      <c r="G149" s="329"/>
      <c r="H149" s="302">
        <f>SUM(H144:H148)</f>
        <v>80232</v>
      </c>
      <c r="I149" s="324"/>
      <c r="J149" s="316"/>
    </row>
    <row r="150" spans="1:12" ht="15" customHeight="1" thickTop="1" x14ac:dyDescent="0.25">
      <c r="C150" s="281"/>
      <c r="D150" s="281"/>
      <c r="E150" s="285">
        <f>ROUNDDOWN(+E149,-2)</f>
        <v>2674400</v>
      </c>
      <c r="F150" s="285">
        <f>ROUNDDOWN(E150,-2)</f>
        <v>2674400</v>
      </c>
      <c r="G150" s="324"/>
      <c r="H150" s="324"/>
      <c r="I150" s="324"/>
      <c r="J150" s="316"/>
    </row>
    <row r="151" spans="1:12" ht="15" customHeight="1" x14ac:dyDescent="0.25">
      <c r="C151" s="281"/>
      <c r="D151" s="281"/>
      <c r="E151" s="285"/>
      <c r="F151" s="285"/>
      <c r="G151" s="324"/>
      <c r="H151" s="324"/>
      <c r="I151" s="324"/>
      <c r="J151" s="316"/>
    </row>
    <row r="152" spans="1:12" ht="15" customHeight="1" thickBot="1" x14ac:dyDescent="0.3">
      <c r="C152" s="281"/>
      <c r="D152" s="281"/>
      <c r="E152" s="285"/>
      <c r="F152" s="324"/>
      <c r="G152" s="324"/>
      <c r="H152" s="324"/>
      <c r="I152" s="324"/>
      <c r="J152" s="316"/>
    </row>
    <row r="153" spans="1:12" s="44" customFormat="1" ht="15" customHeight="1" x14ac:dyDescent="0.25">
      <c r="A153" s="330" t="s">
        <v>290</v>
      </c>
      <c r="B153" s="331"/>
      <c r="C153" s="331"/>
      <c r="D153" s="331"/>
      <c r="E153" s="331"/>
      <c r="F153" s="331"/>
      <c r="G153" s="332" t="s">
        <v>291</v>
      </c>
      <c r="H153" s="333"/>
      <c r="J153" s="65"/>
      <c r="K153" s="334"/>
      <c r="L153" s="221"/>
    </row>
    <row r="154" spans="1:12" s="44" customFormat="1" ht="15" customHeight="1" x14ac:dyDescent="0.25">
      <c r="A154" s="335" t="s">
        <v>292</v>
      </c>
      <c r="H154" s="150"/>
      <c r="J154" s="65"/>
      <c r="K154" s="336"/>
      <c r="L154" s="221"/>
    </row>
    <row r="155" spans="1:12" s="44" customFormat="1" ht="15" customHeight="1" x14ac:dyDescent="0.25">
      <c r="A155" s="335" t="s">
        <v>293</v>
      </c>
      <c r="H155" s="150"/>
      <c r="J155" s="65"/>
      <c r="K155" s="336"/>
      <c r="L155" s="221"/>
    </row>
    <row r="156" spans="1:12" s="44" customFormat="1" ht="15" customHeight="1" x14ac:dyDescent="0.2">
      <c r="A156" s="337" t="s">
        <v>294</v>
      </c>
      <c r="B156" s="338" t="s">
        <v>295</v>
      </c>
      <c r="C156" s="338"/>
      <c r="D156" s="338"/>
      <c r="E156" s="338"/>
      <c r="F156" s="338"/>
      <c r="G156" s="338"/>
      <c r="H156" s="339"/>
      <c r="I156" s="28"/>
      <c r="J156" s="65"/>
      <c r="K156" s="340" t="s">
        <v>296</v>
      </c>
      <c r="L156" s="221"/>
    </row>
    <row r="157" spans="1:12" s="44" customFormat="1" ht="26.25" customHeight="1" x14ac:dyDescent="0.2">
      <c r="A157" s="337" t="s">
        <v>297</v>
      </c>
      <c r="B157" s="338" t="s">
        <v>298</v>
      </c>
      <c r="C157" s="338"/>
      <c r="D157" s="338"/>
      <c r="E157" s="338"/>
      <c r="F157" s="338"/>
      <c r="G157" s="338"/>
      <c r="H157" s="339"/>
      <c r="I157" s="28"/>
      <c r="J157" s="65"/>
      <c r="K157" s="340" t="s">
        <v>299</v>
      </c>
      <c r="L157" s="221"/>
    </row>
    <row r="158" spans="1:12" s="44" customFormat="1" ht="26.25" customHeight="1" x14ac:dyDescent="0.2">
      <c r="A158" s="337" t="s">
        <v>300</v>
      </c>
      <c r="B158" s="338" t="s">
        <v>301</v>
      </c>
      <c r="C158" s="338"/>
      <c r="D158" s="338"/>
      <c r="E158" s="338"/>
      <c r="F158" s="338"/>
      <c r="G158" s="338"/>
      <c r="H158" s="339"/>
      <c r="I158" s="28"/>
      <c r="J158" s="65"/>
      <c r="K158" s="340" t="s">
        <v>302</v>
      </c>
      <c r="L158" s="221"/>
    </row>
    <row r="159" spans="1:12" s="44" customFormat="1" ht="26.25" customHeight="1" x14ac:dyDescent="0.2">
      <c r="A159" s="337" t="s">
        <v>303</v>
      </c>
      <c r="B159" s="338" t="s">
        <v>304</v>
      </c>
      <c r="C159" s="338"/>
      <c r="D159" s="338"/>
      <c r="E159" s="338"/>
      <c r="F159" s="338"/>
      <c r="G159" s="338"/>
      <c r="H159" s="339"/>
      <c r="I159" s="28"/>
      <c r="J159" s="65"/>
      <c r="K159" s="340" t="s">
        <v>305</v>
      </c>
      <c r="L159" s="221"/>
    </row>
    <row r="160" spans="1:12" s="44" customFormat="1" ht="15" customHeight="1" x14ac:dyDescent="0.2">
      <c r="A160" s="337" t="s">
        <v>306</v>
      </c>
      <c r="B160" s="338" t="s">
        <v>307</v>
      </c>
      <c r="C160" s="338"/>
      <c r="D160" s="338"/>
      <c r="E160" s="338"/>
      <c r="F160" s="338"/>
      <c r="G160" s="338"/>
      <c r="H160" s="339"/>
      <c r="I160" s="28"/>
      <c r="J160" s="65"/>
      <c r="K160" s="340" t="s">
        <v>308</v>
      </c>
      <c r="L160" s="221"/>
    </row>
    <row r="161" spans="1:12" s="44" customFormat="1" ht="15" customHeight="1" x14ac:dyDescent="0.2">
      <c r="A161" s="337" t="s">
        <v>309</v>
      </c>
      <c r="B161" s="338" t="s">
        <v>310</v>
      </c>
      <c r="C161" s="338"/>
      <c r="D161" s="338"/>
      <c r="E161" s="338"/>
      <c r="F161" s="338"/>
      <c r="G161" s="338"/>
      <c r="H161" s="339"/>
      <c r="I161" s="28"/>
      <c r="J161" s="65"/>
      <c r="K161" s="340" t="s">
        <v>311</v>
      </c>
      <c r="L161" s="221"/>
    </row>
    <row r="162" spans="1:12" s="44" customFormat="1" ht="25.5" customHeight="1" x14ac:dyDescent="0.2">
      <c r="A162" s="341"/>
      <c r="B162" s="342" t="s">
        <v>312</v>
      </c>
      <c r="C162" s="342"/>
      <c r="D162" s="342"/>
      <c r="E162" s="342"/>
      <c r="F162" s="342"/>
      <c r="G162" s="342"/>
      <c r="H162" s="343"/>
      <c r="J162" s="65"/>
    </row>
    <row r="163" spans="1:12" s="44" customFormat="1" ht="15" customHeight="1" thickBot="1" x14ac:dyDescent="0.25">
      <c r="A163" s="344"/>
      <c r="B163" s="345" t="s">
        <v>313</v>
      </c>
      <c r="C163" s="345"/>
      <c r="D163" s="345"/>
      <c r="E163" s="345"/>
      <c r="F163" s="345"/>
      <c r="G163" s="345"/>
      <c r="H163" s="346"/>
      <c r="J163" s="65"/>
    </row>
    <row r="164" spans="1:12" s="44" customFormat="1" ht="15" customHeight="1" thickBot="1" x14ac:dyDescent="0.25">
      <c r="A164" s="229"/>
      <c r="B164" s="347"/>
      <c r="C164" s="347"/>
      <c r="D164" s="347"/>
      <c r="E164" s="347"/>
      <c r="F164" s="347"/>
      <c r="G164" s="347"/>
      <c r="J164" s="65"/>
    </row>
    <row r="165" spans="1:12" s="44" customFormat="1" ht="15" customHeight="1" x14ac:dyDescent="0.25">
      <c r="A165" s="330" t="s">
        <v>290</v>
      </c>
      <c r="B165" s="348"/>
      <c r="C165" s="348"/>
      <c r="D165" s="348"/>
      <c r="E165" s="348"/>
      <c r="F165" s="348"/>
      <c r="G165" s="349" t="s">
        <v>314</v>
      </c>
      <c r="H165" s="350"/>
      <c r="J165" s="65"/>
    </row>
    <row r="166" spans="1:12" ht="15" customHeight="1" x14ac:dyDescent="0.25">
      <c r="A166" s="335" t="s">
        <v>315</v>
      </c>
      <c r="C166" s="351"/>
      <c r="D166" s="351"/>
      <c r="E166" s="351"/>
      <c r="F166" s="352"/>
      <c r="G166" s="353"/>
      <c r="H166" s="159"/>
      <c r="J166" s="65"/>
    </row>
    <row r="167" spans="1:12" ht="15" customHeight="1" x14ac:dyDescent="0.25">
      <c r="A167" s="335" t="s">
        <v>316</v>
      </c>
      <c r="C167" s="351"/>
      <c r="D167" s="351"/>
      <c r="E167" s="351"/>
      <c r="F167" s="352"/>
      <c r="G167" s="353"/>
      <c r="H167" s="159"/>
      <c r="J167" s="65"/>
    </row>
    <row r="168" spans="1:12" ht="15" customHeight="1" x14ac:dyDescent="0.25">
      <c r="A168" s="26"/>
      <c r="B168" s="354" t="s">
        <v>317</v>
      </c>
      <c r="D168" s="354" t="s">
        <v>318</v>
      </c>
      <c r="F168" s="352"/>
      <c r="G168" s="353"/>
      <c r="H168" s="159"/>
      <c r="J168" s="65"/>
    </row>
    <row r="169" spans="1:12" ht="15" customHeight="1" x14ac:dyDescent="0.25">
      <c r="A169" s="26"/>
      <c r="B169" s="354" t="s">
        <v>319</v>
      </c>
      <c r="D169" s="354" t="s">
        <v>320</v>
      </c>
      <c r="F169" s="352"/>
      <c r="G169" s="353"/>
      <c r="H169" s="159"/>
      <c r="J169" s="65"/>
    </row>
    <row r="170" spans="1:12" ht="15" customHeight="1" x14ac:dyDescent="0.25">
      <c r="A170" s="26"/>
      <c r="B170" s="354" t="s">
        <v>321</v>
      </c>
      <c r="D170" s="354" t="s">
        <v>322</v>
      </c>
      <c r="F170" s="352"/>
      <c r="G170" s="353"/>
      <c r="H170" s="159"/>
      <c r="J170" s="65"/>
    </row>
    <row r="171" spans="1:12" ht="15" customHeight="1" x14ac:dyDescent="0.25">
      <c r="A171" s="26"/>
      <c r="B171" s="355" t="s">
        <v>323</v>
      </c>
      <c r="D171" s="354" t="s">
        <v>324</v>
      </c>
      <c r="F171" s="352"/>
      <c r="G171" s="353"/>
      <c r="H171" s="159"/>
      <c r="J171" s="65"/>
    </row>
    <row r="172" spans="1:12" ht="15" customHeight="1" x14ac:dyDescent="0.25">
      <c r="A172" s="26"/>
      <c r="B172" s="354" t="s">
        <v>325</v>
      </c>
      <c r="D172" s="354" t="s">
        <v>326</v>
      </c>
      <c r="F172" s="352"/>
      <c r="G172" s="353"/>
      <c r="H172" s="159"/>
      <c r="J172" s="65"/>
    </row>
    <row r="173" spans="1:12" ht="15" customHeight="1" x14ac:dyDescent="0.25">
      <c r="A173" s="26"/>
      <c r="B173" s="354" t="s">
        <v>327</v>
      </c>
      <c r="D173" s="354" t="s">
        <v>328</v>
      </c>
      <c r="F173" s="352"/>
      <c r="G173" s="353"/>
      <c r="H173" s="159"/>
      <c r="J173" s="7"/>
    </row>
    <row r="174" spans="1:12" ht="15" customHeight="1" x14ac:dyDescent="0.25">
      <c r="A174" s="26"/>
      <c r="B174" s="355" t="s">
        <v>329</v>
      </c>
      <c r="D174" s="354" t="s">
        <v>330</v>
      </c>
      <c r="F174" s="352"/>
      <c r="G174" s="353"/>
      <c r="H174" s="159"/>
      <c r="J174" s="7"/>
    </row>
    <row r="175" spans="1:12" ht="15" customHeight="1" thickBot="1" x14ac:dyDescent="0.3">
      <c r="A175" s="356"/>
      <c r="B175" s="357" t="s">
        <v>331</v>
      </c>
      <c r="C175" s="319"/>
      <c r="D175" s="357" t="s">
        <v>332</v>
      </c>
      <c r="E175" s="319"/>
      <c r="F175" s="319"/>
      <c r="G175" s="319"/>
      <c r="H175" s="358"/>
      <c r="J175" s="7"/>
    </row>
    <row r="176" spans="1:12" ht="15" customHeight="1" thickBot="1" x14ac:dyDescent="0.3">
      <c r="J176" s="7"/>
    </row>
    <row r="177" spans="2:11" ht="15" customHeight="1" x14ac:dyDescent="0.25">
      <c r="B177" s="359" t="s">
        <v>333</v>
      </c>
      <c r="C177" s="360"/>
      <c r="D177" s="361"/>
      <c r="E177" s="362" t="s">
        <v>334</v>
      </c>
      <c r="F177" s="363"/>
      <c r="G177" s="362" t="s">
        <v>335</v>
      </c>
      <c r="H177" s="364"/>
      <c r="J177" s="7"/>
    </row>
    <row r="178" spans="2:11" ht="15" customHeight="1" x14ac:dyDescent="0.25">
      <c r="B178" s="365" t="s">
        <v>9</v>
      </c>
      <c r="C178" s="281"/>
      <c r="D178" s="307"/>
      <c r="E178" s="366" t="s">
        <v>336</v>
      </c>
      <c r="G178" s="366" t="s">
        <v>337</v>
      </c>
      <c r="H178" s="159"/>
      <c r="J178" s="7"/>
    </row>
    <row r="179" spans="2:11" ht="15" customHeight="1" x14ac:dyDescent="0.25">
      <c r="B179" s="365" t="s">
        <v>338</v>
      </c>
      <c r="C179" s="281"/>
      <c r="D179" s="307"/>
      <c r="E179" s="366" t="s">
        <v>339</v>
      </c>
      <c r="G179" s="366" t="s">
        <v>340</v>
      </c>
      <c r="H179" s="159"/>
      <c r="J179" s="7"/>
    </row>
    <row r="180" spans="2:11" ht="15" customHeight="1" x14ac:dyDescent="0.25">
      <c r="B180" s="365" t="s">
        <v>26</v>
      </c>
      <c r="C180" s="281"/>
      <c r="D180" s="307"/>
      <c r="E180" s="366" t="s">
        <v>341</v>
      </c>
      <c r="H180" s="159"/>
      <c r="J180" s="7"/>
    </row>
    <row r="181" spans="2:11" ht="15" customHeight="1" x14ac:dyDescent="0.25">
      <c r="B181" s="365" t="s">
        <v>342</v>
      </c>
      <c r="C181" s="281"/>
      <c r="D181" s="307"/>
      <c r="E181" s="366" t="s">
        <v>343</v>
      </c>
      <c r="H181" s="159"/>
      <c r="J181" s="7"/>
    </row>
    <row r="182" spans="2:11" ht="15" customHeight="1" x14ac:dyDescent="0.25">
      <c r="B182" s="365" t="s">
        <v>344</v>
      </c>
      <c r="C182" s="281"/>
      <c r="D182" s="307"/>
      <c r="H182" s="159"/>
      <c r="J182" s="7"/>
    </row>
    <row r="183" spans="2:11" ht="15" customHeight="1" x14ac:dyDescent="0.25">
      <c r="B183" s="365" t="s">
        <v>345</v>
      </c>
      <c r="C183" s="281"/>
      <c r="D183" s="307"/>
      <c r="H183" s="159"/>
      <c r="J183" s="7"/>
    </row>
    <row r="184" spans="2:11" ht="15" customHeight="1" x14ac:dyDescent="0.25">
      <c r="B184" s="365" t="s">
        <v>346</v>
      </c>
      <c r="C184" s="281"/>
      <c r="D184" s="367">
        <f>SUM(C178:C184)</f>
        <v>0</v>
      </c>
      <c r="H184" s="159"/>
      <c r="J184" s="7"/>
    </row>
    <row r="185" spans="2:11" ht="15" customHeight="1" x14ac:dyDescent="0.25">
      <c r="B185" s="368" t="s">
        <v>347</v>
      </c>
      <c r="C185" s="281"/>
      <c r="D185" s="351"/>
      <c r="E185" s="369"/>
      <c r="H185" s="159"/>
      <c r="J185" s="7"/>
    </row>
    <row r="186" spans="2:11" ht="15" customHeight="1" x14ac:dyDescent="0.25">
      <c r="B186" s="365" t="s">
        <v>348</v>
      </c>
      <c r="C186" s="370"/>
      <c r="D186" s="351"/>
      <c r="H186" s="159"/>
      <c r="J186" s="7"/>
    </row>
    <row r="187" spans="2:11" ht="15" customHeight="1" x14ac:dyDescent="0.25">
      <c r="B187" s="365" t="s">
        <v>349</v>
      </c>
      <c r="C187" s="370"/>
      <c r="D187" s="351"/>
      <c r="H187" s="159"/>
      <c r="J187" s="7"/>
    </row>
    <row r="188" spans="2:11" ht="15" customHeight="1" x14ac:dyDescent="0.25">
      <c r="B188" s="365" t="s">
        <v>350</v>
      </c>
      <c r="C188" s="370"/>
      <c r="D188" s="351">
        <f>SUM(C186:C188)</f>
        <v>0</v>
      </c>
      <c r="H188" s="159"/>
      <c r="J188" s="7"/>
    </row>
    <row r="189" spans="2:11" ht="15" customHeight="1" thickBot="1" x14ac:dyDescent="0.3">
      <c r="B189" s="371" t="s">
        <v>351</v>
      </c>
      <c r="C189" s="372"/>
      <c r="D189" s="373"/>
      <c r="E189" s="319"/>
      <c r="F189" s="319"/>
      <c r="G189" s="319"/>
      <c r="H189" s="358"/>
      <c r="J189" s="7"/>
    </row>
    <row r="190" spans="2:11" ht="15" customHeight="1" x14ac:dyDescent="0.25">
      <c r="B190" s="351"/>
      <c r="D190" s="374">
        <f>D184+D188+D189</f>
        <v>0</v>
      </c>
      <c r="J190" s="7"/>
    </row>
    <row r="191" spans="2:11" ht="15" customHeight="1" x14ac:dyDescent="0.25">
      <c r="F191" s="285"/>
      <c r="G191" s="285"/>
      <c r="H191" s="285"/>
      <c r="I191" s="294"/>
      <c r="J191" s="65"/>
      <c r="K191" s="51">
        <f>H191*0.03</f>
        <v>0</v>
      </c>
    </row>
    <row r="192" spans="2:11" ht="15" customHeight="1" x14ac:dyDescent="0.25">
      <c r="H192" s="17"/>
      <c r="K192" s="51"/>
    </row>
    <row r="194" spans="8:8" ht="15" customHeight="1" x14ac:dyDescent="0.25">
      <c r="H194" s="17"/>
    </row>
  </sheetData>
  <mergeCells count="41">
    <mergeCell ref="B160:H160"/>
    <mergeCell ref="B161:H161"/>
    <mergeCell ref="B162:H162"/>
    <mergeCell ref="B163:G163"/>
    <mergeCell ref="G165:H165"/>
    <mergeCell ref="I145:J145"/>
    <mergeCell ref="G153:H153"/>
    <mergeCell ref="B156:H156"/>
    <mergeCell ref="B157:H157"/>
    <mergeCell ref="B158:H158"/>
    <mergeCell ref="B159:H159"/>
    <mergeCell ref="E110:G110"/>
    <mergeCell ref="E111:G111"/>
    <mergeCell ref="E112:G112"/>
    <mergeCell ref="E113:G113"/>
    <mergeCell ref="I122:J122"/>
    <mergeCell ref="I135:J135"/>
    <mergeCell ref="I80:J80"/>
    <mergeCell ref="I83:J83"/>
    <mergeCell ref="I84:J84"/>
    <mergeCell ref="I85:J85"/>
    <mergeCell ref="I86:J86"/>
    <mergeCell ref="E102:G102"/>
    <mergeCell ref="A70:I70"/>
    <mergeCell ref="A71:B71"/>
    <mergeCell ref="F71:I71"/>
    <mergeCell ref="I77:J77"/>
    <mergeCell ref="I78:J78"/>
    <mergeCell ref="I79:J79"/>
    <mergeCell ref="K25:M25"/>
    <mergeCell ref="A26:F26"/>
    <mergeCell ref="K29:M29"/>
    <mergeCell ref="C66:D66"/>
    <mergeCell ref="C67:D67"/>
    <mergeCell ref="C68:D68"/>
    <mergeCell ref="A1:C1"/>
    <mergeCell ref="D1:H1"/>
    <mergeCell ref="J1:L1"/>
    <mergeCell ref="A2:C2"/>
    <mergeCell ref="F2:G2"/>
    <mergeCell ref="N17:O17"/>
  </mergeCells>
  <conditionalFormatting sqref="F55">
    <cfRule type="expression" dxfId="0" priority="1" stopIfTrue="1">
      <formula>"""$E$55=0"""</formula>
    </cfRule>
  </conditionalFormatting>
  <printOptions horizontalCentered="1" verticalCentered="1"/>
  <pageMargins left="0.39370078740157483" right="0.19685039370078741" top="0.19685039370078741" bottom="0.19685039370078741" header="0" footer="0"/>
  <pageSetup paperSize="9" scale="86"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10</vt:lpstr>
      <vt:lpstr>'10'!Print_Area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Tax Doctor</dc:creator>
  <cp:lastModifiedBy>Tax Doctor</cp:lastModifiedBy>
  <dcterms:created xsi:type="dcterms:W3CDTF">2021-10-28T04:11:46Z</dcterms:created>
  <dcterms:modified xsi:type="dcterms:W3CDTF">2021-10-28T04:12:03Z</dcterms:modified>
</cp:coreProperties>
</file>